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2.xml" ContentType="application/vnd.openxmlformats-officedocument.drawing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https://mubea-my.sharepoint.com/personal/monika_cadkova_mubea_com/Documents/Plocha/Monika/Obec/02_Rozpočet/Rozpočet 2025/"/>
    </mc:Choice>
  </mc:AlternateContent>
  <xr:revisionPtr revIDLastSave="47" documentId="8_{C11E7EA4-2753-4476-BB5A-A10CF8EB4406}" xr6:coauthVersionLast="47" xr6:coauthVersionMax="47" xr10:uidLastSave="{FFE542DF-EACC-4882-BE6B-31BA6C14EECD}"/>
  <bookViews>
    <workbookView xWindow="-108" yWindow="-108" windowWidth="23256" windowHeight="12576" xr2:uid="{00000000-000D-0000-FFFF-FFFF00000000}"/>
  </bookViews>
  <sheets>
    <sheet name=" PŘEHLED K TISKU" sheetId="4" r:id="rId1"/>
    <sheet name="Příjmy" sheetId="10" r:id="rId2"/>
    <sheet name="Výdaje" sheetId="9" r:id="rId3"/>
    <sheet name="Sport návrh" sheetId="13" state="hidden" r:id="rId4"/>
    <sheet name="Sport doplnění" sheetId="14" state="hidden" r:id="rId5"/>
    <sheet name="SDH" sheetId="6" state="hidden" r:id="rId6"/>
    <sheet name="MŠ" sheetId="16" state="hidden" r:id="rId7"/>
  </sheets>
  <definedNames>
    <definedName name="_xlnm._FilterDatabase" localSheetId="0" hidden="1">' PŘEHLED K TISKU'!$A$5:$I$5</definedName>
    <definedName name="_xlnm._FilterDatabase" localSheetId="1" hidden="1">Příjmy!$A$2:$E$2</definedName>
    <definedName name="_xlnm._FilterDatabase" localSheetId="2" hidden="1">Výdaje!$A$2:$K$129</definedName>
    <definedName name="JR_PAGE_ANCHOR_0_2" localSheetId="1">Příjmy!#REF!</definedName>
    <definedName name="JR_PAGE_ANCHOR_0_2" localSheetId="2">#REF!</definedName>
    <definedName name="JR_PAGE_ANCHOR_0_2">#REF!</definedName>
    <definedName name="JR_PAGE_ANCHOR_0_3" localSheetId="1">#REF!</definedName>
    <definedName name="JR_PAGE_ANCHOR_0_3" localSheetId="2">Výdaje!#REF!</definedName>
    <definedName name="JR_PAGE_ANCHOR_0_3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7" i="4" l="1"/>
  <c r="H77" i="4"/>
  <c r="G77" i="4"/>
  <c r="E77" i="4"/>
  <c r="I45" i="4"/>
  <c r="H45" i="4"/>
  <c r="G45" i="4"/>
  <c r="F45" i="4"/>
  <c r="E45" i="4"/>
  <c r="M60" i="10"/>
  <c r="I75" i="4"/>
  <c r="H75" i="4"/>
  <c r="I74" i="4"/>
  <c r="H74" i="4"/>
  <c r="I73" i="4"/>
  <c r="H73" i="4"/>
  <c r="I72" i="4"/>
  <c r="H72" i="4"/>
  <c r="I71" i="4"/>
  <c r="H71" i="4"/>
  <c r="I70" i="4"/>
  <c r="H70" i="4"/>
  <c r="I69" i="4"/>
  <c r="H69" i="4"/>
  <c r="I68" i="4"/>
  <c r="H68" i="4"/>
  <c r="I67" i="4"/>
  <c r="H67" i="4"/>
  <c r="I66" i="4"/>
  <c r="H66" i="4"/>
  <c r="I65" i="4"/>
  <c r="H65" i="4"/>
  <c r="I64" i="4"/>
  <c r="H64" i="4"/>
  <c r="I63" i="4"/>
  <c r="H63" i="4"/>
  <c r="I62" i="4"/>
  <c r="H62" i="4"/>
  <c r="I61" i="4"/>
  <c r="H61" i="4"/>
  <c r="I60" i="4"/>
  <c r="H60" i="4"/>
  <c r="I59" i="4"/>
  <c r="H59" i="4"/>
  <c r="I58" i="4"/>
  <c r="H58" i="4"/>
  <c r="I57" i="4"/>
  <c r="H57" i="4"/>
  <c r="I56" i="4"/>
  <c r="H56" i="4"/>
  <c r="I55" i="4"/>
  <c r="H55" i="4"/>
  <c r="I54" i="4"/>
  <c r="H54" i="4"/>
  <c r="I53" i="4"/>
  <c r="H53" i="4"/>
  <c r="I52" i="4"/>
  <c r="H52" i="4"/>
  <c r="I51" i="4"/>
  <c r="H51" i="4"/>
  <c r="I50" i="4"/>
  <c r="H50" i="4"/>
  <c r="I49" i="4"/>
  <c r="H49" i="4"/>
  <c r="I48" i="4"/>
  <c r="H48" i="4"/>
  <c r="I47" i="4"/>
  <c r="H47" i="4"/>
  <c r="I46" i="4"/>
  <c r="H46" i="4"/>
  <c r="I44" i="4"/>
  <c r="H44" i="4"/>
  <c r="H38" i="4"/>
  <c r="H34" i="4"/>
  <c r="H30" i="4"/>
  <c r="I28" i="4"/>
  <c r="H28" i="4"/>
  <c r="I27" i="4"/>
  <c r="H27" i="4"/>
  <c r="I26" i="4"/>
  <c r="H26" i="4"/>
  <c r="I25" i="4"/>
  <c r="H25" i="4"/>
  <c r="I24" i="4"/>
  <c r="H24" i="4"/>
  <c r="I23" i="4"/>
  <c r="H23" i="4"/>
  <c r="I22" i="4"/>
  <c r="H22" i="4"/>
  <c r="I21" i="4"/>
  <c r="H21" i="4"/>
  <c r="I20" i="4"/>
  <c r="H20" i="4"/>
  <c r="I19" i="4"/>
  <c r="H19" i="4"/>
  <c r="I18" i="4"/>
  <c r="H18" i="4"/>
  <c r="I17" i="4"/>
  <c r="H17" i="4"/>
  <c r="I16" i="4"/>
  <c r="H16" i="4"/>
  <c r="I15" i="4"/>
  <c r="H15" i="4"/>
  <c r="I14" i="4"/>
  <c r="H14" i="4"/>
  <c r="I13" i="4"/>
  <c r="H13" i="4"/>
  <c r="I12" i="4"/>
  <c r="H12" i="4"/>
  <c r="I11" i="4"/>
  <c r="H11" i="4"/>
  <c r="I10" i="4"/>
  <c r="H10" i="4"/>
  <c r="I9" i="4"/>
  <c r="H9" i="4"/>
  <c r="I8" i="4"/>
  <c r="H8" i="4"/>
  <c r="I7" i="4"/>
  <c r="H7" i="4"/>
  <c r="I6" i="4"/>
  <c r="H6" i="4"/>
  <c r="M40" i="9"/>
  <c r="M38" i="9"/>
  <c r="M42" i="9" s="1"/>
  <c r="M8" i="9"/>
  <c r="M9" i="9" s="1"/>
  <c r="N38" i="9"/>
  <c r="N55" i="10" a="1"/>
  <c r="N57" i="10" s="1"/>
  <c r="M55" i="10" a="1"/>
  <c r="M57" i="10" s="1"/>
  <c r="N52" i="10"/>
  <c r="I42" i="4" s="1"/>
  <c r="M52" i="10"/>
  <c r="H42" i="4" s="1"/>
  <c r="N50" i="10"/>
  <c r="I38" i="4" s="1"/>
  <c r="M50" i="10"/>
  <c r="N47" i="10"/>
  <c r="I37" i="4" s="1"/>
  <c r="M47" i="10"/>
  <c r="H37" i="4" s="1"/>
  <c r="N45" i="10"/>
  <c r="I36" i="4" s="1"/>
  <c r="M45" i="10"/>
  <c r="H36" i="4" s="1"/>
  <c r="N43" i="10"/>
  <c r="I35" i="4" s="1"/>
  <c r="M43" i="10"/>
  <c r="H35" i="4" s="1"/>
  <c r="N40" i="10"/>
  <c r="I34" i="4" s="1"/>
  <c r="M40" i="10"/>
  <c r="N36" i="10"/>
  <c r="I33" i="4" s="1"/>
  <c r="M36" i="10"/>
  <c r="H33" i="4" s="1"/>
  <c r="N34" i="10"/>
  <c r="I32" i="4" s="1"/>
  <c r="M34" i="10"/>
  <c r="H32" i="4" s="1"/>
  <c r="N32" i="10"/>
  <c r="I31" i="4" s="1"/>
  <c r="M32" i="10"/>
  <c r="H31" i="4" s="1"/>
  <c r="N29" i="10"/>
  <c r="I30" i="4" s="1"/>
  <c r="M29" i="10"/>
  <c r="N26" i="10"/>
  <c r="M26" i="10"/>
  <c r="N71" i="9"/>
  <c r="M71" i="9"/>
  <c r="M126" i="9"/>
  <c r="N125" i="9"/>
  <c r="M125" i="9"/>
  <c r="N123" i="9"/>
  <c r="M123" i="9"/>
  <c r="N104" i="9"/>
  <c r="M104" i="9"/>
  <c r="N99" i="9"/>
  <c r="M99" i="9"/>
  <c r="N97" i="9"/>
  <c r="M97" i="9"/>
  <c r="N95" i="9"/>
  <c r="M95" i="9"/>
  <c r="N88" i="9"/>
  <c r="M88" i="9"/>
  <c r="N85" i="9"/>
  <c r="M85" i="9"/>
  <c r="N83" i="9"/>
  <c r="M83" i="9"/>
  <c r="N78" i="9"/>
  <c r="M78" i="9"/>
  <c r="N76" i="9"/>
  <c r="M76" i="9"/>
  <c r="N74" i="9"/>
  <c r="M74" i="9"/>
  <c r="N62" i="9"/>
  <c r="M62" i="9"/>
  <c r="M60" i="9"/>
  <c r="N59" i="9"/>
  <c r="N60" i="9" s="1"/>
  <c r="N58" i="9"/>
  <c r="M58" i="9"/>
  <c r="N54" i="9"/>
  <c r="M54" i="9"/>
  <c r="N48" i="9"/>
  <c r="M48" i="9"/>
  <c r="N46" i="9"/>
  <c r="M46" i="9"/>
  <c r="N44" i="9"/>
  <c r="M44" i="9"/>
  <c r="N42" i="9"/>
  <c r="N30" i="9"/>
  <c r="M30" i="9"/>
  <c r="N28" i="9"/>
  <c r="M28" i="9"/>
  <c r="N26" i="9"/>
  <c r="M26" i="9"/>
  <c r="N24" i="9"/>
  <c r="M24" i="9"/>
  <c r="N22" i="9"/>
  <c r="M22" i="9"/>
  <c r="N13" i="9"/>
  <c r="M13" i="9"/>
  <c r="N11" i="9"/>
  <c r="M11" i="9"/>
  <c r="N9" i="9"/>
  <c r="N5" i="9"/>
  <c r="M5" i="9"/>
  <c r="I29" i="4" l="1"/>
  <c r="M55" i="10"/>
  <c r="H43" i="4" s="1"/>
  <c r="H29" i="4"/>
  <c r="N55" i="10"/>
  <c r="I43" i="4" s="1"/>
  <c r="N72" i="9"/>
  <c r="N129" i="9" s="1"/>
  <c r="M72" i="9"/>
  <c r="M129" i="9" s="1"/>
  <c r="N60" i="10" l="1"/>
  <c r="L38" i="9"/>
  <c r="L88" i="9"/>
  <c r="G68" i="4" s="1"/>
  <c r="L85" i="9"/>
  <c r="G67" i="4" s="1"/>
  <c r="E115" i="13"/>
  <c r="G44" i="4"/>
  <c r="G75" i="4"/>
  <c r="E49" i="4"/>
  <c r="E28" i="4"/>
  <c r="E27" i="4"/>
  <c r="E26" i="4"/>
  <c r="E25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7" i="4"/>
  <c r="G28" i="4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G11" i="4"/>
  <c r="G10" i="4"/>
  <c r="G9" i="4"/>
  <c r="G8" i="4"/>
  <c r="G7" i="4"/>
  <c r="G6" i="4"/>
  <c r="F19" i="4"/>
  <c r="F18" i="4"/>
  <c r="D19" i="4"/>
  <c r="D18" i="4"/>
  <c r="F28" i="4"/>
  <c r="F27" i="4"/>
  <c r="F26" i="4"/>
  <c r="F25" i="4"/>
  <c r="F24" i="4"/>
  <c r="F23" i="4"/>
  <c r="F22" i="4"/>
  <c r="F21" i="4"/>
  <c r="F20" i="4"/>
  <c r="F17" i="4"/>
  <c r="F16" i="4"/>
  <c r="F15" i="4"/>
  <c r="F14" i="4"/>
  <c r="F13" i="4"/>
  <c r="F12" i="4"/>
  <c r="F11" i="4"/>
  <c r="F10" i="4"/>
  <c r="F9" i="4"/>
  <c r="F8" i="4"/>
  <c r="F7" i="4"/>
  <c r="F6" i="4"/>
  <c r="G29" i="4" l="1"/>
  <c r="F29" i="4"/>
  <c r="L125" i="9" l="1"/>
  <c r="G74" i="4" s="1"/>
  <c r="L95" i="9"/>
  <c r="G69" i="4" s="1"/>
  <c r="L8" i="9"/>
  <c r="L45" i="9"/>
  <c r="L46" i="9" s="1"/>
  <c r="G56" i="4" s="1"/>
  <c r="L66" i="9"/>
  <c r="L37" i="9"/>
  <c r="L55" i="10" a="1"/>
  <c r="L55" i="10" s="1"/>
  <c r="E114" i="13"/>
  <c r="E110" i="13"/>
  <c r="L71" i="9"/>
  <c r="L104" i="9"/>
  <c r="G72" i="4" s="1"/>
  <c r="L76" i="9"/>
  <c r="G64" i="4" s="1"/>
  <c r="L78" i="9"/>
  <c r="G65" i="4" s="1"/>
  <c r="L72" i="9"/>
  <c r="G62" i="4" s="1"/>
  <c r="L48" i="9"/>
  <c r="G57" i="4" s="1"/>
  <c r="L30" i="9"/>
  <c r="G53" i="4" s="1"/>
  <c r="L28" i="9"/>
  <c r="G52" i="4" s="1"/>
  <c r="L26" i="9"/>
  <c r="L13" i="9"/>
  <c r="G49" i="4" s="1"/>
  <c r="L11" i="9"/>
  <c r="G48" i="4" s="1"/>
  <c r="L52" i="10"/>
  <c r="G42" i="4" s="1"/>
  <c r="L50" i="10"/>
  <c r="G38" i="4" s="1"/>
  <c r="L47" i="10"/>
  <c r="G37" i="4" s="1"/>
  <c r="L45" i="10"/>
  <c r="G36" i="4" s="1"/>
  <c r="L43" i="10"/>
  <c r="G35" i="4" s="1"/>
  <c r="L74" i="9"/>
  <c r="G63" i="4" s="1"/>
  <c r="L62" i="9"/>
  <c r="G61" i="4" s="1"/>
  <c r="L58" i="9"/>
  <c r="G59" i="4" s="1"/>
  <c r="L44" i="9"/>
  <c r="G55" i="4" s="1"/>
  <c r="L126" i="9"/>
  <c r="L123" i="9"/>
  <c r="G73" i="4" s="1"/>
  <c r="L99" i="9"/>
  <c r="G71" i="4" s="1"/>
  <c r="L97" i="9"/>
  <c r="G70" i="4" s="1"/>
  <c r="L83" i="9"/>
  <c r="G66" i="4" s="1"/>
  <c r="L59" i="9"/>
  <c r="L60" i="9" s="1"/>
  <c r="G60" i="4" s="1"/>
  <c r="L54" i="9"/>
  <c r="G58" i="4" s="1"/>
  <c r="L24" i="9"/>
  <c r="G51" i="4" s="1"/>
  <c r="L22" i="9"/>
  <c r="G50" i="4" s="1"/>
  <c r="L9" i="9"/>
  <c r="G47" i="4" s="1"/>
  <c r="L5" i="9"/>
  <c r="G46" i="4" s="1"/>
  <c r="L40" i="10"/>
  <c r="G34" i="4" s="1"/>
  <c r="L36" i="10"/>
  <c r="G33" i="4" s="1"/>
  <c r="L34" i="10"/>
  <c r="G32" i="4" s="1"/>
  <c r="L32" i="10"/>
  <c r="G31" i="4" s="1"/>
  <c r="L29" i="10"/>
  <c r="G30" i="4" s="1"/>
  <c r="L26" i="10"/>
  <c r="D34" i="16"/>
  <c r="C34" i="16"/>
  <c r="E33" i="16"/>
  <c r="J32" i="16"/>
  <c r="E32" i="16"/>
  <c r="E31" i="16"/>
  <c r="K30" i="16"/>
  <c r="K32" i="16" s="1"/>
  <c r="J30" i="16"/>
  <c r="L30" i="16" s="1"/>
  <c r="L32" i="16" s="1"/>
  <c r="E30" i="16"/>
  <c r="E34" i="16" s="1"/>
  <c r="E25" i="16"/>
  <c r="G25" i="16" s="1"/>
  <c r="E24" i="16"/>
  <c r="G24" i="16" s="1"/>
  <c r="E23" i="16"/>
  <c r="F22" i="16"/>
  <c r="E22" i="16"/>
  <c r="E21" i="16"/>
  <c r="E20" i="16"/>
  <c r="D19" i="16"/>
  <c r="C19" i="16"/>
  <c r="E19" i="16" s="1"/>
  <c r="G19" i="16" s="1"/>
  <c r="F18" i="16"/>
  <c r="E18" i="16"/>
  <c r="F17" i="16"/>
  <c r="F16" i="16" s="1"/>
  <c r="F26" i="16" s="1"/>
  <c r="E17" i="16"/>
  <c r="E16" i="16"/>
  <c r="G16" i="16" s="1"/>
  <c r="D16" i="16"/>
  <c r="C16" i="16"/>
  <c r="E15" i="16"/>
  <c r="E14" i="16"/>
  <c r="L13" i="16"/>
  <c r="E13" i="16"/>
  <c r="L12" i="16"/>
  <c r="D12" i="16"/>
  <c r="D26" i="16" s="1"/>
  <c r="D38" i="16" s="1"/>
  <c r="C12" i="16"/>
  <c r="E12" i="16" s="1"/>
  <c r="G12" i="16" s="1"/>
  <c r="E11" i="16"/>
  <c r="G11" i="16" s="1"/>
  <c r="L10" i="16"/>
  <c r="E10" i="16"/>
  <c r="G10" i="16" s="1"/>
  <c r="L9" i="16"/>
  <c r="E9" i="16"/>
  <c r="G9" i="16" s="1"/>
  <c r="K8" i="16"/>
  <c r="K14" i="16" s="1"/>
  <c r="J8" i="16"/>
  <c r="L7" i="16"/>
  <c r="E7" i="16"/>
  <c r="G7" i="16" s="1"/>
  <c r="G43" i="4" l="1"/>
  <c r="L42" i="9"/>
  <c r="G54" i="4" s="1"/>
  <c r="L57" i="10"/>
  <c r="L60" i="10" s="1"/>
  <c r="L129" i="9"/>
  <c r="K38" i="16"/>
  <c r="L8" i="16"/>
  <c r="C8" i="16"/>
  <c r="C26" i="16" l="1"/>
  <c r="E8" i="16"/>
  <c r="C38" i="16" l="1"/>
  <c r="E38" i="16" s="1"/>
  <c r="J11" i="16"/>
  <c r="G8" i="16"/>
  <c r="G26" i="16" s="1"/>
  <c r="E26" i="16"/>
  <c r="L11" i="16" l="1"/>
  <c r="L14" i="16" s="1"/>
  <c r="J14" i="16"/>
  <c r="J38" i="16" s="1"/>
  <c r="F145" i="13"/>
  <c r="F143" i="13"/>
  <c r="E131" i="13"/>
  <c r="D122" i="13"/>
  <c r="D121" i="13"/>
  <c r="D110" i="13"/>
  <c r="D114" i="13" s="1"/>
  <c r="C110" i="13"/>
  <c r="C114" i="13" s="1"/>
  <c r="H64" i="13"/>
  <c r="H66" i="13" s="1"/>
  <c r="D44" i="13"/>
  <c r="C44" i="13"/>
  <c r="D39" i="13"/>
  <c r="C39" i="13"/>
  <c r="C30" i="13"/>
  <c r="C26" i="13"/>
  <c r="C21" i="13"/>
  <c r="C12" i="13"/>
  <c r="C6" i="13"/>
  <c r="B6" i="13"/>
  <c r="D5" i="13"/>
  <c r="D4" i="13"/>
  <c r="J42" i="16" l="1"/>
  <c r="L38" i="16"/>
  <c r="D6" i="13"/>
  <c r="C47" i="13"/>
  <c r="C31" i="13"/>
  <c r="D47" i="13"/>
  <c r="K99" i="9" l="1"/>
  <c r="E71" i="4" s="1"/>
  <c r="K97" i="9"/>
  <c r="E70" i="4" s="1"/>
  <c r="K76" i="9"/>
  <c r="E64" i="4" s="1"/>
  <c r="H54" i="9"/>
  <c r="F58" i="4" s="1"/>
  <c r="F54" i="9"/>
  <c r="E54" i="9"/>
  <c r="D54" i="9"/>
  <c r="D58" i="4" s="1"/>
  <c r="J49" i="9"/>
  <c r="I49" i="9"/>
  <c r="G49" i="9"/>
  <c r="I127" i="9"/>
  <c r="I126" i="9"/>
  <c r="I124" i="9"/>
  <c r="I122" i="9"/>
  <c r="I121" i="9"/>
  <c r="I120" i="9"/>
  <c r="I119" i="9"/>
  <c r="I118" i="9"/>
  <c r="I117" i="9"/>
  <c r="I116" i="9"/>
  <c r="I115" i="9"/>
  <c r="I114" i="9"/>
  <c r="I113" i="9"/>
  <c r="I112" i="9"/>
  <c r="I111" i="9"/>
  <c r="I110" i="9"/>
  <c r="I109" i="9"/>
  <c r="I108" i="9"/>
  <c r="I107" i="9"/>
  <c r="I106" i="9"/>
  <c r="I105" i="9"/>
  <c r="I103" i="9"/>
  <c r="I102" i="9"/>
  <c r="I101" i="9"/>
  <c r="I100" i="9"/>
  <c r="I98" i="9"/>
  <c r="I96" i="9"/>
  <c r="I94" i="9"/>
  <c r="I93" i="9"/>
  <c r="I92" i="9"/>
  <c r="I91" i="9"/>
  <c r="I90" i="9"/>
  <c r="I89" i="9"/>
  <c r="I87" i="9"/>
  <c r="I86" i="9"/>
  <c r="I84" i="9"/>
  <c r="I82" i="9"/>
  <c r="I81" i="9"/>
  <c r="I80" i="9"/>
  <c r="I79" i="9"/>
  <c r="I77" i="9"/>
  <c r="I75" i="9"/>
  <c r="I73" i="9"/>
  <c r="I71" i="9"/>
  <c r="I70" i="9"/>
  <c r="I69" i="9"/>
  <c r="I68" i="9"/>
  <c r="I67" i="9"/>
  <c r="I66" i="9"/>
  <c r="I65" i="9"/>
  <c r="I64" i="9"/>
  <c r="I63" i="9"/>
  <c r="I61" i="9"/>
  <c r="I59" i="9"/>
  <c r="I57" i="9"/>
  <c r="I56" i="9"/>
  <c r="I55" i="9"/>
  <c r="I53" i="9"/>
  <c r="I52" i="9"/>
  <c r="I51" i="9"/>
  <c r="I50" i="9"/>
  <c r="I47" i="9"/>
  <c r="I45" i="9"/>
  <c r="I43" i="9"/>
  <c r="J41" i="9"/>
  <c r="I41" i="9"/>
  <c r="I40" i="9"/>
  <c r="J39" i="9"/>
  <c r="I39" i="9"/>
  <c r="J38" i="9"/>
  <c r="I38" i="9"/>
  <c r="J37" i="9"/>
  <c r="I37" i="9"/>
  <c r="I36" i="9"/>
  <c r="I35" i="9"/>
  <c r="I34" i="9"/>
  <c r="I33" i="9"/>
  <c r="I32" i="9"/>
  <c r="I31" i="9"/>
  <c r="I29" i="9"/>
  <c r="J27" i="9"/>
  <c r="I27" i="9"/>
  <c r="J25" i="9"/>
  <c r="I25" i="9"/>
  <c r="J23" i="9"/>
  <c r="I23" i="9"/>
  <c r="I21" i="9"/>
  <c r="J20" i="9"/>
  <c r="I20" i="9"/>
  <c r="I19" i="9"/>
  <c r="I18" i="9"/>
  <c r="I17" i="9"/>
  <c r="I16" i="9"/>
  <c r="J15" i="9"/>
  <c r="I15" i="9"/>
  <c r="I14" i="9"/>
  <c r="J12" i="9"/>
  <c r="I12" i="9"/>
  <c r="I10" i="9"/>
  <c r="J8" i="9"/>
  <c r="I8" i="9"/>
  <c r="I7" i="9"/>
  <c r="I6" i="9"/>
  <c r="I4" i="9"/>
  <c r="I3" i="9"/>
  <c r="H128" i="9"/>
  <c r="F75" i="4" s="1"/>
  <c r="H125" i="9"/>
  <c r="F74" i="4" s="1"/>
  <c r="H123" i="9"/>
  <c r="F73" i="4" s="1"/>
  <c r="H104" i="9"/>
  <c r="F72" i="4" s="1"/>
  <c r="H99" i="9"/>
  <c r="F71" i="4" s="1"/>
  <c r="H97" i="9"/>
  <c r="F70" i="4" s="1"/>
  <c r="H95" i="9"/>
  <c r="F69" i="4" s="1"/>
  <c r="H88" i="9"/>
  <c r="F68" i="4" s="1"/>
  <c r="H85" i="9"/>
  <c r="F67" i="4" s="1"/>
  <c r="H83" i="9"/>
  <c r="F66" i="4" s="1"/>
  <c r="H78" i="9"/>
  <c r="F65" i="4" s="1"/>
  <c r="H76" i="9"/>
  <c r="F64" i="4" s="1"/>
  <c r="H74" i="9"/>
  <c r="F63" i="4" s="1"/>
  <c r="H72" i="9"/>
  <c r="F62" i="4" s="1"/>
  <c r="H62" i="9"/>
  <c r="F61" i="4" s="1"/>
  <c r="H60" i="9"/>
  <c r="F60" i="4" s="1"/>
  <c r="H58" i="9"/>
  <c r="F59" i="4" s="1"/>
  <c r="H48" i="9"/>
  <c r="F57" i="4" s="1"/>
  <c r="H46" i="9"/>
  <c r="F56" i="4" s="1"/>
  <c r="H44" i="9"/>
  <c r="F55" i="4" s="1"/>
  <c r="H42" i="9"/>
  <c r="F54" i="4" s="1"/>
  <c r="H30" i="9"/>
  <c r="F53" i="4" s="1"/>
  <c r="H28" i="9"/>
  <c r="F52" i="4" s="1"/>
  <c r="H26" i="9"/>
  <c r="H24" i="9"/>
  <c r="F51" i="4" s="1"/>
  <c r="H22" i="9"/>
  <c r="F50" i="4" s="1"/>
  <c r="H13" i="9"/>
  <c r="H11" i="9"/>
  <c r="F48" i="4" s="1"/>
  <c r="H9" i="9"/>
  <c r="F47" i="4" s="1"/>
  <c r="H5" i="9"/>
  <c r="F46" i="4" s="1"/>
  <c r="K55" i="10"/>
  <c r="E43" i="4" s="1"/>
  <c r="H55" i="10"/>
  <c r="F43" i="4" s="1"/>
  <c r="F55" i="10"/>
  <c r="E55" i="10"/>
  <c r="D55" i="10"/>
  <c r="J53" i="10"/>
  <c r="I53" i="10"/>
  <c r="G53" i="10"/>
  <c r="J13" i="9" l="1"/>
  <c r="F49" i="4"/>
  <c r="H129" i="9"/>
  <c r="J56" i="10" l="1"/>
  <c r="J54" i="10"/>
  <c r="J51" i="10"/>
  <c r="J49" i="10"/>
  <c r="J48" i="10"/>
  <c r="J46" i="10"/>
  <c r="J44" i="10"/>
  <c r="J41" i="10"/>
  <c r="J39" i="10"/>
  <c r="J38" i="10"/>
  <c r="J37" i="10"/>
  <c r="J35" i="10"/>
  <c r="J33" i="10"/>
  <c r="J31" i="10"/>
  <c r="J30" i="10"/>
  <c r="J28" i="10"/>
  <c r="J27" i="10"/>
  <c r="J25" i="10"/>
  <c r="J24" i="10"/>
  <c r="J23" i="10"/>
  <c r="J22" i="10"/>
  <c r="J20" i="10"/>
  <c r="J19" i="10"/>
  <c r="J18" i="10"/>
  <c r="J16" i="10"/>
  <c r="J15" i="10"/>
  <c r="J14" i="10"/>
  <c r="J12" i="10"/>
  <c r="J11" i="10"/>
  <c r="J10" i="10"/>
  <c r="J9" i="10"/>
  <c r="J8" i="10"/>
  <c r="J6" i="10"/>
  <c r="J4" i="10"/>
  <c r="I3" i="10"/>
  <c r="K3" i="10"/>
  <c r="I56" i="10"/>
  <c r="I54" i="10"/>
  <c r="I51" i="10"/>
  <c r="I49" i="10"/>
  <c r="I48" i="10"/>
  <c r="I46" i="10"/>
  <c r="I44" i="10"/>
  <c r="I42" i="10"/>
  <c r="I39" i="10"/>
  <c r="I38" i="10"/>
  <c r="I37" i="10"/>
  <c r="I35" i="10"/>
  <c r="I33" i="10"/>
  <c r="I31" i="10"/>
  <c r="I30" i="10"/>
  <c r="I28" i="10"/>
  <c r="I27" i="10"/>
  <c r="I25" i="10"/>
  <c r="I24" i="10"/>
  <c r="I23" i="10"/>
  <c r="I22" i="10"/>
  <c r="I21" i="10"/>
  <c r="I20" i="10"/>
  <c r="I19" i="10"/>
  <c r="I18" i="10"/>
  <c r="I17" i="10"/>
  <c r="I16" i="10"/>
  <c r="I15" i="10"/>
  <c r="I14" i="10"/>
  <c r="I13" i="10"/>
  <c r="I12" i="10"/>
  <c r="I11" i="10"/>
  <c r="I10" i="10"/>
  <c r="I9" i="10"/>
  <c r="I8" i="10"/>
  <c r="I7" i="10"/>
  <c r="I6" i="10"/>
  <c r="I5" i="10"/>
  <c r="I4" i="10"/>
  <c r="H57" i="10"/>
  <c r="H52" i="10"/>
  <c r="F42" i="4" s="1"/>
  <c r="H50" i="10"/>
  <c r="F38" i="4" s="1"/>
  <c r="H47" i="10"/>
  <c r="F37" i="4" s="1"/>
  <c r="H45" i="10"/>
  <c r="F36" i="4" s="1"/>
  <c r="H43" i="10"/>
  <c r="F35" i="4" s="1"/>
  <c r="H40" i="10"/>
  <c r="F34" i="4" s="1"/>
  <c r="H36" i="10"/>
  <c r="F33" i="4" s="1"/>
  <c r="H34" i="10"/>
  <c r="F32" i="4" s="1"/>
  <c r="H32" i="10"/>
  <c r="F31" i="4" s="1"/>
  <c r="H29" i="10"/>
  <c r="F30" i="4" s="1"/>
  <c r="H26" i="10"/>
  <c r="J7" i="10"/>
  <c r="K21" i="10"/>
  <c r="J17" i="10"/>
  <c r="J13" i="10"/>
  <c r="K5" i="10"/>
  <c r="K40" i="9"/>
  <c r="J40" i="9" s="1"/>
  <c r="J120" i="9"/>
  <c r="K118" i="9"/>
  <c r="J118" i="9" s="1"/>
  <c r="K109" i="9"/>
  <c r="J109" i="9" s="1"/>
  <c r="J106" i="9"/>
  <c r="K105" i="9"/>
  <c r="O105" i="9"/>
  <c r="J96" i="9"/>
  <c r="J82" i="9"/>
  <c r="K71" i="9"/>
  <c r="J71" i="9" s="1"/>
  <c r="J70" i="9"/>
  <c r="K68" i="9"/>
  <c r="J68" i="9" s="1"/>
  <c r="K67" i="9"/>
  <c r="J67" i="9" s="1"/>
  <c r="K66" i="9"/>
  <c r="J66" i="9" s="1"/>
  <c r="J65" i="9"/>
  <c r="K63" i="9"/>
  <c r="J63" i="9" s="1"/>
  <c r="K55" i="9"/>
  <c r="J55" i="9" s="1"/>
  <c r="K57" i="9"/>
  <c r="J57" i="9" s="1"/>
  <c r="K33" i="9"/>
  <c r="J33" i="9" s="1"/>
  <c r="K28" i="9"/>
  <c r="K26" i="9"/>
  <c r="J26" i="9" s="1"/>
  <c r="K24" i="9"/>
  <c r="K127" i="9"/>
  <c r="J127" i="9" s="1"/>
  <c r="K126" i="9"/>
  <c r="J126" i="9" s="1"/>
  <c r="K124" i="9"/>
  <c r="J124" i="9" s="1"/>
  <c r="K122" i="9"/>
  <c r="J122" i="9" s="1"/>
  <c r="K121" i="9"/>
  <c r="J121" i="9" s="1"/>
  <c r="K119" i="9"/>
  <c r="J119" i="9" s="1"/>
  <c r="K117" i="9"/>
  <c r="J117" i="9" s="1"/>
  <c r="K116" i="9"/>
  <c r="J116" i="9" s="1"/>
  <c r="K115" i="9"/>
  <c r="J115" i="9" s="1"/>
  <c r="K114" i="9"/>
  <c r="J114" i="9" s="1"/>
  <c r="K113" i="9"/>
  <c r="J113" i="9" s="1"/>
  <c r="K112" i="9"/>
  <c r="J112" i="9" s="1"/>
  <c r="K111" i="9"/>
  <c r="J111" i="9" s="1"/>
  <c r="J110" i="9"/>
  <c r="K108" i="9"/>
  <c r="J108" i="9" s="1"/>
  <c r="J107" i="9"/>
  <c r="K103" i="9"/>
  <c r="J103" i="9" s="1"/>
  <c r="K102" i="9"/>
  <c r="J102" i="9" s="1"/>
  <c r="K101" i="9"/>
  <c r="J101" i="9" s="1"/>
  <c r="K100" i="9"/>
  <c r="J100" i="9" s="1"/>
  <c r="J98" i="9"/>
  <c r="K94" i="9"/>
  <c r="J94" i="9" s="1"/>
  <c r="K93" i="9"/>
  <c r="J93" i="9" s="1"/>
  <c r="K92" i="9"/>
  <c r="J92" i="9" s="1"/>
  <c r="K91" i="9"/>
  <c r="J91" i="9" s="1"/>
  <c r="K90" i="9"/>
  <c r="J90" i="9" s="1"/>
  <c r="K89" i="9"/>
  <c r="K87" i="9"/>
  <c r="J87" i="9" s="1"/>
  <c r="K86" i="9"/>
  <c r="J86" i="9" s="1"/>
  <c r="J84" i="9"/>
  <c r="K81" i="9"/>
  <c r="J81" i="9" s="1"/>
  <c r="K80" i="9"/>
  <c r="J80" i="9" s="1"/>
  <c r="K79" i="9"/>
  <c r="J79" i="9" s="1"/>
  <c r="K77" i="9"/>
  <c r="J77" i="9" s="1"/>
  <c r="J75" i="9"/>
  <c r="K73" i="9"/>
  <c r="J73" i="9" s="1"/>
  <c r="K69" i="9"/>
  <c r="J69" i="9" s="1"/>
  <c r="J64" i="9"/>
  <c r="K61" i="9"/>
  <c r="J61" i="9" s="1"/>
  <c r="K59" i="9"/>
  <c r="J59" i="9" s="1"/>
  <c r="K56" i="9"/>
  <c r="J56" i="9" s="1"/>
  <c r="K53" i="9"/>
  <c r="J53" i="9" s="1"/>
  <c r="K52" i="9"/>
  <c r="J52" i="9" s="1"/>
  <c r="K51" i="9"/>
  <c r="J51" i="9" s="1"/>
  <c r="K50" i="9"/>
  <c r="K47" i="9"/>
  <c r="J47" i="9" s="1"/>
  <c r="K45" i="9"/>
  <c r="J45" i="9" s="1"/>
  <c r="K43" i="9"/>
  <c r="J43" i="9" s="1"/>
  <c r="K36" i="9"/>
  <c r="J36" i="9" s="1"/>
  <c r="K35" i="9"/>
  <c r="J35" i="9" s="1"/>
  <c r="K34" i="9"/>
  <c r="J34" i="9" s="1"/>
  <c r="K32" i="9"/>
  <c r="J32" i="9" s="1"/>
  <c r="K31" i="9"/>
  <c r="J31" i="9" s="1"/>
  <c r="K29" i="9"/>
  <c r="K21" i="9"/>
  <c r="J21" i="9" s="1"/>
  <c r="K19" i="9"/>
  <c r="J19" i="9" s="1"/>
  <c r="K18" i="9"/>
  <c r="J18" i="9" s="1"/>
  <c r="K17" i="9"/>
  <c r="J17" i="9" s="1"/>
  <c r="K16" i="9"/>
  <c r="J16" i="9" s="1"/>
  <c r="K14" i="9"/>
  <c r="J14" i="9" s="1"/>
  <c r="K10" i="9"/>
  <c r="J10" i="9" s="1"/>
  <c r="K7" i="9"/>
  <c r="J7" i="9" s="1"/>
  <c r="K6" i="9"/>
  <c r="J6" i="9" s="1"/>
  <c r="K4" i="9"/>
  <c r="J4" i="9" s="1"/>
  <c r="K3" i="9"/>
  <c r="J3" i="9" s="1"/>
  <c r="F26" i="9"/>
  <c r="E26" i="9"/>
  <c r="I26" i="9" s="1"/>
  <c r="D26" i="9"/>
  <c r="D52" i="4" s="1"/>
  <c r="E123" i="9"/>
  <c r="I123" i="9" s="1"/>
  <c r="D123" i="9"/>
  <c r="D73" i="4" s="1"/>
  <c r="G110" i="9"/>
  <c r="G107" i="9"/>
  <c r="G103" i="9"/>
  <c r="G102" i="9"/>
  <c r="G101" i="9"/>
  <c r="G100" i="9"/>
  <c r="F104" i="9"/>
  <c r="E104" i="9"/>
  <c r="D104" i="9"/>
  <c r="D72" i="4" s="1"/>
  <c r="E95" i="9"/>
  <c r="G50" i="9"/>
  <c r="F28" i="9"/>
  <c r="E28" i="9"/>
  <c r="I28" i="9" s="1"/>
  <c r="D28" i="9"/>
  <c r="F22" i="9"/>
  <c r="E22" i="9"/>
  <c r="I22" i="9" s="1"/>
  <c r="D22" i="9"/>
  <c r="D50" i="4" s="1"/>
  <c r="G14" i="9"/>
  <c r="G56" i="10"/>
  <c r="G54" i="10"/>
  <c r="G51" i="10"/>
  <c r="G49" i="10"/>
  <c r="G48" i="10"/>
  <c r="G46" i="10"/>
  <c r="G44" i="10"/>
  <c r="G42" i="10"/>
  <c r="G39" i="10"/>
  <c r="G38" i="10"/>
  <c r="G37" i="10"/>
  <c r="G35" i="10"/>
  <c r="G33" i="10"/>
  <c r="G31" i="10"/>
  <c r="G30" i="10"/>
  <c r="G28" i="10"/>
  <c r="G27" i="10"/>
  <c r="G25" i="10"/>
  <c r="G24" i="10"/>
  <c r="G23" i="10"/>
  <c r="G22" i="10"/>
  <c r="G21" i="10"/>
  <c r="G20" i="10"/>
  <c r="G19" i="10"/>
  <c r="G18" i="10"/>
  <c r="G17" i="10"/>
  <c r="G16" i="10"/>
  <c r="G15" i="10"/>
  <c r="G14" i="10"/>
  <c r="G13" i="10"/>
  <c r="G12" i="10"/>
  <c r="G11" i="10"/>
  <c r="G10" i="10"/>
  <c r="G9" i="10"/>
  <c r="G8" i="10"/>
  <c r="G7" i="10"/>
  <c r="G6" i="10"/>
  <c r="G5" i="10"/>
  <c r="G4" i="10"/>
  <c r="G3" i="10"/>
  <c r="G127" i="9"/>
  <c r="G126" i="9"/>
  <c r="G124" i="9"/>
  <c r="G122" i="9"/>
  <c r="G121" i="9"/>
  <c r="G120" i="9"/>
  <c r="G119" i="9"/>
  <c r="G118" i="9"/>
  <c r="G117" i="9"/>
  <c r="G116" i="9"/>
  <c r="G115" i="9"/>
  <c r="G114" i="9"/>
  <c r="G113" i="9"/>
  <c r="G112" i="9"/>
  <c r="G111" i="9"/>
  <c r="G109" i="9"/>
  <c r="G108" i="9"/>
  <c r="G106" i="9"/>
  <c r="G105" i="9"/>
  <c r="G98" i="9"/>
  <c r="G96" i="9"/>
  <c r="G94" i="9"/>
  <c r="G93" i="9"/>
  <c r="G92" i="9"/>
  <c r="G91" i="9"/>
  <c r="G90" i="9"/>
  <c r="G89" i="9"/>
  <c r="G87" i="9"/>
  <c r="G86" i="9"/>
  <c r="G84" i="9"/>
  <c r="G82" i="9"/>
  <c r="G81" i="9"/>
  <c r="G80" i="9"/>
  <c r="G79" i="9"/>
  <c r="G77" i="9"/>
  <c r="G75" i="9"/>
  <c r="G73" i="9"/>
  <c r="G71" i="9"/>
  <c r="G70" i="9"/>
  <c r="G69" i="9"/>
  <c r="G68" i="9"/>
  <c r="G67" i="9"/>
  <c r="G66" i="9"/>
  <c r="G65" i="9"/>
  <c r="G64" i="9"/>
  <c r="G63" i="9"/>
  <c r="G61" i="9"/>
  <c r="G59" i="9"/>
  <c r="G57" i="9"/>
  <c r="G56" i="9"/>
  <c r="G55" i="9"/>
  <c r="G52" i="9"/>
  <c r="G51" i="9"/>
  <c r="G47" i="9"/>
  <c r="G45" i="9"/>
  <c r="G43" i="9"/>
  <c r="G41" i="9"/>
  <c r="G40" i="9"/>
  <c r="G39" i="9"/>
  <c r="G38" i="9"/>
  <c r="G37" i="9"/>
  <c r="G36" i="9"/>
  <c r="G35" i="9"/>
  <c r="G34" i="9"/>
  <c r="G33" i="9"/>
  <c r="G32" i="9"/>
  <c r="G31" i="9"/>
  <c r="G29" i="9"/>
  <c r="G27" i="9"/>
  <c r="G23" i="9"/>
  <c r="G21" i="9"/>
  <c r="G20" i="9"/>
  <c r="G19" i="9"/>
  <c r="G18" i="9"/>
  <c r="G17" i="9"/>
  <c r="G16" i="9"/>
  <c r="G15" i="9"/>
  <c r="G12" i="9"/>
  <c r="G10" i="9"/>
  <c r="G8" i="9"/>
  <c r="G7" i="9"/>
  <c r="G6" i="9"/>
  <c r="G4" i="9"/>
  <c r="G3" i="9"/>
  <c r="K50" i="10"/>
  <c r="E38" i="4" s="1"/>
  <c r="F50" i="10"/>
  <c r="E41" i="10"/>
  <c r="G41" i="10" s="1"/>
  <c r="K36" i="10"/>
  <c r="E33" i="4" s="1"/>
  <c r="E36" i="10"/>
  <c r="D36" i="10"/>
  <c r="J28" i="9" l="1"/>
  <c r="E52" i="4"/>
  <c r="J89" i="9"/>
  <c r="K95" i="9"/>
  <c r="E69" i="4" s="1"/>
  <c r="J24" i="9"/>
  <c r="E51" i="4"/>
  <c r="J5" i="10"/>
  <c r="E8" i="4"/>
  <c r="J3" i="10"/>
  <c r="E6" i="4"/>
  <c r="J21" i="10"/>
  <c r="E24" i="4"/>
  <c r="J105" i="9"/>
  <c r="K123" i="9"/>
  <c r="E73" i="4" s="1"/>
  <c r="J50" i="9"/>
  <c r="K54" i="9"/>
  <c r="E58" i="4" s="1"/>
  <c r="I54" i="9"/>
  <c r="I95" i="9"/>
  <c r="K104" i="9"/>
  <c r="I104" i="9"/>
  <c r="K30" i="9"/>
  <c r="J29" i="9"/>
  <c r="K5" i="9"/>
  <c r="K9" i="9"/>
  <c r="K83" i="9"/>
  <c r="K42" i="9"/>
  <c r="K22" i="9"/>
  <c r="J50" i="10"/>
  <c r="I36" i="10"/>
  <c r="J36" i="10"/>
  <c r="I41" i="10"/>
  <c r="H60" i="10"/>
  <c r="K72" i="9"/>
  <c r="G104" i="9"/>
  <c r="J42" i="10"/>
  <c r="J42" i="9" l="1"/>
  <c r="E54" i="4"/>
  <c r="J22" i="9"/>
  <c r="E50" i="4"/>
  <c r="J72" i="9"/>
  <c r="E62" i="4"/>
  <c r="J83" i="9"/>
  <c r="E66" i="4"/>
  <c r="J95" i="9"/>
  <c r="J30" i="9"/>
  <c r="E53" i="4"/>
  <c r="J104" i="9"/>
  <c r="E72" i="4"/>
  <c r="J9" i="9"/>
  <c r="E47" i="4"/>
  <c r="J5" i="9"/>
  <c r="E46" i="4"/>
  <c r="J54" i="9"/>
  <c r="E29" i="4"/>
  <c r="K57" i="10"/>
  <c r="J57" i="10" s="1"/>
  <c r="J55" i="10"/>
  <c r="K52" i="10"/>
  <c r="K47" i="10"/>
  <c r="K45" i="10"/>
  <c r="K43" i="10"/>
  <c r="K40" i="10"/>
  <c r="K34" i="10"/>
  <c r="K32" i="10"/>
  <c r="K29" i="10"/>
  <c r="K26" i="10"/>
  <c r="J26" i="10" s="1"/>
  <c r="F95" i="9"/>
  <c r="J40" i="10" l="1"/>
  <c r="E34" i="4"/>
  <c r="J52" i="10"/>
  <c r="E42" i="4"/>
  <c r="J47" i="10"/>
  <c r="E37" i="4"/>
  <c r="J45" i="10"/>
  <c r="E36" i="4"/>
  <c r="J43" i="10"/>
  <c r="E35" i="4"/>
  <c r="J29" i="10"/>
  <c r="E30" i="4"/>
  <c r="J32" i="10"/>
  <c r="E31" i="4"/>
  <c r="J34" i="10"/>
  <c r="E32" i="4"/>
  <c r="K60" i="10"/>
  <c r="J60" i="10" s="1"/>
  <c r="F123" i="9" l="1"/>
  <c r="G28" i="9"/>
  <c r="F36" i="10"/>
  <c r="G36" i="10" s="1"/>
  <c r="F128" i="9"/>
  <c r="F125" i="9"/>
  <c r="F99" i="9"/>
  <c r="F97" i="9"/>
  <c r="F88" i="9"/>
  <c r="F85" i="9"/>
  <c r="F83" i="9"/>
  <c r="F78" i="9"/>
  <c r="F76" i="9"/>
  <c r="F74" i="9"/>
  <c r="F72" i="9"/>
  <c r="F62" i="9"/>
  <c r="F60" i="9"/>
  <c r="F58" i="9"/>
  <c r="F48" i="9"/>
  <c r="F46" i="9"/>
  <c r="F44" i="9"/>
  <c r="F42" i="9"/>
  <c r="F30" i="9"/>
  <c r="F24" i="9"/>
  <c r="F13" i="9"/>
  <c r="F11" i="9"/>
  <c r="F9" i="9"/>
  <c r="F5" i="9"/>
  <c r="F26" i="10"/>
  <c r="F57" i="10"/>
  <c r="F44" i="4" s="1"/>
  <c r="F52" i="10"/>
  <c r="F47" i="10"/>
  <c r="F45" i="10"/>
  <c r="F43" i="10"/>
  <c r="F40" i="10"/>
  <c r="F34" i="10"/>
  <c r="F32" i="10"/>
  <c r="F29" i="10"/>
  <c r="F129" i="9" l="1"/>
  <c r="F60" i="10"/>
  <c r="D27" i="4" l="1"/>
  <c r="D28" i="4" l="1"/>
  <c r="D26" i="4"/>
  <c r="D25" i="4"/>
  <c r="D24" i="4"/>
  <c r="E26" i="10"/>
  <c r="G26" i="10" l="1"/>
  <c r="I26" i="10"/>
  <c r="E128" i="9"/>
  <c r="E125" i="9"/>
  <c r="E99" i="9"/>
  <c r="E97" i="9"/>
  <c r="E88" i="9"/>
  <c r="E85" i="9"/>
  <c r="E83" i="9"/>
  <c r="I83" i="9" s="1"/>
  <c r="E78" i="9"/>
  <c r="E76" i="9"/>
  <c r="E74" i="9"/>
  <c r="E72" i="9"/>
  <c r="I72" i="9" s="1"/>
  <c r="E62" i="9"/>
  <c r="E60" i="9"/>
  <c r="E58" i="9"/>
  <c r="E48" i="9"/>
  <c r="E46" i="9"/>
  <c r="E44" i="9"/>
  <c r="E42" i="9"/>
  <c r="I42" i="9" s="1"/>
  <c r="E30" i="9"/>
  <c r="I30" i="9" s="1"/>
  <c r="E24" i="9"/>
  <c r="I24" i="9" s="1"/>
  <c r="E13" i="9"/>
  <c r="I13" i="9" s="1"/>
  <c r="E11" i="9"/>
  <c r="E9" i="9"/>
  <c r="I9" i="9" s="1"/>
  <c r="E5" i="9"/>
  <c r="I5" i="9" s="1"/>
  <c r="E34" i="10"/>
  <c r="I34" i="10" s="1"/>
  <c r="E57" i="10"/>
  <c r="I55" i="10"/>
  <c r="E52" i="10"/>
  <c r="I52" i="10" s="1"/>
  <c r="E50" i="10"/>
  <c r="I50" i="10" s="1"/>
  <c r="E47" i="10"/>
  <c r="I47" i="10" s="1"/>
  <c r="E45" i="10"/>
  <c r="I45" i="10" s="1"/>
  <c r="E43" i="10"/>
  <c r="I43" i="10" s="1"/>
  <c r="E40" i="10"/>
  <c r="I40" i="10" s="1"/>
  <c r="E32" i="10"/>
  <c r="I32" i="10" s="1"/>
  <c r="E29" i="10"/>
  <c r="I29" i="10" s="1"/>
  <c r="D23" i="4"/>
  <c r="D22" i="4"/>
  <c r="D21" i="4"/>
  <c r="D20" i="4"/>
  <c r="D17" i="4"/>
  <c r="D16" i="4"/>
  <c r="D15" i="4"/>
  <c r="D14" i="4"/>
  <c r="D13" i="4"/>
  <c r="D12" i="4"/>
  <c r="D11" i="4"/>
  <c r="D10" i="4"/>
  <c r="D9" i="4"/>
  <c r="D8" i="4"/>
  <c r="D7" i="4"/>
  <c r="D6" i="4"/>
  <c r="D128" i="9"/>
  <c r="D75" i="4" s="1"/>
  <c r="D125" i="9"/>
  <c r="D74" i="4" s="1"/>
  <c r="D99" i="9"/>
  <c r="D71" i="4" s="1"/>
  <c r="D97" i="9"/>
  <c r="D70" i="4" s="1"/>
  <c r="D95" i="9"/>
  <c r="D69" i="4" s="1"/>
  <c r="D88" i="9"/>
  <c r="D68" i="4" s="1"/>
  <c r="D85" i="9"/>
  <c r="D67" i="4" s="1"/>
  <c r="D83" i="9"/>
  <c r="D66" i="4" s="1"/>
  <c r="D78" i="9"/>
  <c r="D65" i="4" s="1"/>
  <c r="D76" i="9"/>
  <c r="D64" i="4" s="1"/>
  <c r="D74" i="9"/>
  <c r="D63" i="4" s="1"/>
  <c r="D72" i="9"/>
  <c r="D62" i="4" s="1"/>
  <c r="D62" i="9"/>
  <c r="D61" i="4" s="1"/>
  <c r="D60" i="9"/>
  <c r="D60" i="4" s="1"/>
  <c r="D58" i="9"/>
  <c r="D59" i="4" s="1"/>
  <c r="D48" i="9"/>
  <c r="D57" i="4" s="1"/>
  <c r="D46" i="9"/>
  <c r="D56" i="4" s="1"/>
  <c r="D44" i="9"/>
  <c r="D55" i="4" s="1"/>
  <c r="D42" i="9"/>
  <c r="D54" i="4" s="1"/>
  <c r="D30" i="9"/>
  <c r="D53" i="4" s="1"/>
  <c r="D24" i="9"/>
  <c r="D51" i="4" s="1"/>
  <c r="D13" i="9"/>
  <c r="D49" i="4" s="1"/>
  <c r="D11" i="9"/>
  <c r="D48" i="4" s="1"/>
  <c r="D9" i="9"/>
  <c r="D47" i="4" s="1"/>
  <c r="D5" i="9"/>
  <c r="D46" i="4" s="1"/>
  <c r="D57" i="10"/>
  <c r="D44" i="4" s="1"/>
  <c r="D43" i="4"/>
  <c r="D52" i="10"/>
  <c r="D42" i="4" s="1"/>
  <c r="D50" i="10"/>
  <c r="D38" i="4" s="1"/>
  <c r="D47" i="10"/>
  <c r="D37" i="4" s="1"/>
  <c r="D45" i="10"/>
  <c r="D36" i="4" s="1"/>
  <c r="D43" i="10"/>
  <c r="D35" i="4" s="1"/>
  <c r="D40" i="10"/>
  <c r="D34" i="4" s="1"/>
  <c r="D33" i="4"/>
  <c r="D34" i="10"/>
  <c r="D32" i="4" s="1"/>
  <c r="D32" i="10"/>
  <c r="D31" i="4" s="1"/>
  <c r="D29" i="10"/>
  <c r="D26" i="10"/>
  <c r="I57" i="10" l="1"/>
  <c r="E44" i="4"/>
  <c r="K128" i="9"/>
  <c r="I128" i="9"/>
  <c r="K11" i="9"/>
  <c r="I11" i="9"/>
  <c r="K88" i="9"/>
  <c r="I88" i="9"/>
  <c r="K62" i="9"/>
  <c r="I62" i="9"/>
  <c r="J97" i="9"/>
  <c r="I97" i="9"/>
  <c r="K78" i="9"/>
  <c r="I78" i="9"/>
  <c r="K85" i="9"/>
  <c r="E67" i="4" s="1"/>
  <c r="I85" i="9"/>
  <c r="K60" i="9"/>
  <c r="I60" i="9"/>
  <c r="K125" i="9"/>
  <c r="I125" i="9"/>
  <c r="K58" i="9"/>
  <c r="I58" i="9"/>
  <c r="K74" i="9"/>
  <c r="I74" i="9"/>
  <c r="J99" i="9"/>
  <c r="I99" i="9"/>
  <c r="K46" i="9"/>
  <c r="I46" i="9"/>
  <c r="K48" i="9"/>
  <c r="I48" i="9"/>
  <c r="K44" i="9"/>
  <c r="I44" i="9"/>
  <c r="J76" i="9"/>
  <c r="I76" i="9"/>
  <c r="E129" i="9"/>
  <c r="D129" i="9"/>
  <c r="G85" i="9"/>
  <c r="G24" i="9"/>
  <c r="G125" i="9"/>
  <c r="G30" i="9"/>
  <c r="G62" i="9"/>
  <c r="G95" i="9"/>
  <c r="G128" i="9"/>
  <c r="G42" i="9"/>
  <c r="G72" i="9"/>
  <c r="G97" i="9"/>
  <c r="G22" i="9"/>
  <c r="G60" i="9"/>
  <c r="G9" i="9"/>
  <c r="G44" i="9"/>
  <c r="G74" i="9"/>
  <c r="G46" i="9"/>
  <c r="G76" i="9"/>
  <c r="G99" i="9"/>
  <c r="G11" i="9"/>
  <c r="G48" i="9"/>
  <c r="G78" i="9"/>
  <c r="G123" i="9"/>
  <c r="G58" i="9"/>
  <c r="G88" i="9"/>
  <c r="G13" i="9"/>
  <c r="G54" i="9"/>
  <c r="G83" i="9"/>
  <c r="G5" i="9"/>
  <c r="G40" i="10"/>
  <c r="G55" i="10"/>
  <c r="G45" i="10"/>
  <c r="G47" i="10"/>
  <c r="G29" i="10"/>
  <c r="G50" i="10"/>
  <c r="G34" i="10"/>
  <c r="G32" i="10"/>
  <c r="G57" i="10"/>
  <c r="G43" i="10"/>
  <c r="G52" i="10"/>
  <c r="D60" i="10"/>
  <c r="E60" i="10"/>
  <c r="D30" i="4"/>
  <c r="D29" i="4"/>
  <c r="J44" i="9" l="1"/>
  <c r="E55" i="4"/>
  <c r="J74" i="9"/>
  <c r="E63" i="4"/>
  <c r="J88" i="9"/>
  <c r="E68" i="4"/>
  <c r="J58" i="9"/>
  <c r="E59" i="4"/>
  <c r="J48" i="9"/>
  <c r="E57" i="4"/>
  <c r="J46" i="9"/>
  <c r="E56" i="4"/>
  <c r="J125" i="9"/>
  <c r="E74" i="4"/>
  <c r="J128" i="9"/>
  <c r="E75" i="4"/>
  <c r="J11" i="9"/>
  <c r="E48" i="4"/>
  <c r="J78" i="9"/>
  <c r="E65" i="4"/>
  <c r="J60" i="9"/>
  <c r="E60" i="4"/>
  <c r="J62" i="9"/>
  <c r="E61" i="4"/>
  <c r="J123" i="9"/>
  <c r="J85" i="9"/>
  <c r="G129" i="9"/>
  <c r="I129" i="9"/>
  <c r="G60" i="10"/>
  <c r="I60" i="10"/>
  <c r="D78" i="4"/>
  <c r="E78" i="4"/>
  <c r="E79" i="4" s="1"/>
  <c r="F77" i="4"/>
  <c r="D77" i="4"/>
  <c r="F78" i="4"/>
  <c r="K129" i="9" l="1"/>
  <c r="J129" i="9" s="1"/>
  <c r="D79" i="4"/>
  <c r="F79" i="4"/>
  <c r="I78" i="4" l="1"/>
  <c r="H78" i="4"/>
  <c r="I79" i="4" l="1"/>
  <c r="G78" i="4"/>
  <c r="H79" i="4"/>
  <c r="C3" i="6" l="1"/>
  <c r="C19" i="6" s="1"/>
  <c r="G79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Cadkova, Monika</author>
  </authors>
  <commentList>
    <comment ref="C19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Cadkova, Monika:</t>
        </r>
        <r>
          <rPr>
            <sz val="9"/>
            <color indexed="81"/>
            <rFont val="Tahoma"/>
            <family val="2"/>
          </rPr>
          <t xml:space="preserve">
příspěvek z kraje, je pevně dané, příspvěk na školku a fungování správy</t>
        </r>
      </text>
    </comment>
    <comment ref="C27" authorId="0" shapeId="0" xr:uid="{00000000-0006-0000-0400-000002000000}">
      <text>
        <r>
          <rPr>
            <b/>
            <sz val="9"/>
            <color indexed="81"/>
            <rFont val="Tahoma"/>
            <family val="2"/>
          </rPr>
          <t>Cadkova, Monika:</t>
        </r>
        <r>
          <rPr>
            <sz val="9"/>
            <color indexed="81"/>
            <rFont val="Tahoma"/>
            <family val="2"/>
          </rPr>
          <t xml:space="preserve">
honitba</t>
        </r>
      </text>
    </comment>
    <comment ref="C33" authorId="0" shapeId="0" xr:uid="{00000000-0006-0000-0400-000003000000}">
      <text>
        <r>
          <rPr>
            <b/>
            <sz val="9"/>
            <color indexed="81"/>
            <rFont val="Tahoma"/>
            <family val="2"/>
          </rPr>
          <t>Cadkova, Monika:</t>
        </r>
        <r>
          <rPr>
            <sz val="9"/>
            <color indexed="81"/>
            <rFont val="Tahoma"/>
            <family val="2"/>
          </rPr>
          <t xml:space="preserve">
obalovna Stašov, příjem z tuny, používá se na cesty</t>
        </r>
      </text>
    </comment>
    <comment ref="C48" authorId="0" shapeId="0" xr:uid="{00000000-0006-0000-0400-000004000000}">
      <text>
        <r>
          <rPr>
            <b/>
            <sz val="9"/>
            <color indexed="81"/>
            <rFont val="Tahoma"/>
            <family val="2"/>
          </rPr>
          <t>Cadkova, Monika:</t>
        </r>
        <r>
          <rPr>
            <sz val="9"/>
            <color indexed="81"/>
            <rFont val="Tahoma"/>
            <family val="2"/>
          </rPr>
          <t xml:space="preserve">
Eko-kom, procento za třídění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Cadkova, Monika</author>
  </authors>
  <commentList>
    <comment ref="C10" authorId="0" shapeId="0" xr:uid="{00000000-0006-0000-0500-000002000000}">
      <text>
        <r>
          <rPr>
            <b/>
            <sz val="9"/>
            <color indexed="81"/>
            <rFont val="Tahoma"/>
            <family val="2"/>
          </rPr>
          <t>Cadkova, Monika:</t>
        </r>
        <r>
          <rPr>
            <sz val="9"/>
            <color indexed="81"/>
            <rFont val="Tahoma"/>
            <family val="2"/>
          </rPr>
          <t xml:space="preserve">
voda ze stojanu před školkou</t>
        </r>
      </text>
    </comment>
    <comment ref="C12" authorId="0" shapeId="0" xr:uid="{00000000-0006-0000-0500-000003000000}">
      <text>
        <r>
          <rPr>
            <b/>
            <sz val="9"/>
            <color indexed="81"/>
            <rFont val="Tahoma"/>
            <family val="2"/>
          </rPr>
          <t>Cadkova, Monika:</t>
        </r>
        <r>
          <rPr>
            <sz val="9"/>
            <color indexed="81"/>
            <rFont val="Tahoma"/>
            <family val="2"/>
          </rPr>
          <t xml:space="preserve">
Mikroregion</t>
        </r>
      </text>
    </comment>
    <comment ref="C29" authorId="0" shapeId="0" xr:uid="{00000000-0006-0000-0500-000004000000}">
      <text>
        <r>
          <rPr>
            <b/>
            <sz val="9"/>
            <color indexed="81"/>
            <rFont val="Tahoma"/>
            <family val="2"/>
          </rPr>
          <t>Cadkova, Monika:</t>
        </r>
        <r>
          <rPr>
            <sz val="9"/>
            <color indexed="81"/>
            <rFont val="Tahoma"/>
            <family val="2"/>
          </rPr>
          <t xml:space="preserve">
veřejný rozhlas</t>
        </r>
      </text>
    </comment>
    <comment ref="C43" authorId="0" shapeId="0" xr:uid="{00000000-0006-0000-0500-000005000000}">
      <text>
        <r>
          <rPr>
            <b/>
            <sz val="9"/>
            <color indexed="81"/>
            <rFont val="Tahoma"/>
            <family val="2"/>
          </rPr>
          <t>Cadkova, Monika:</t>
        </r>
        <r>
          <rPr>
            <sz val="9"/>
            <color indexed="81"/>
            <rFont val="Tahoma"/>
            <family val="2"/>
          </rPr>
          <t xml:space="preserve">
vítíání občánků, jubilanti</t>
        </r>
      </text>
    </comment>
    <comment ref="C47" authorId="0" shapeId="0" xr:uid="{00000000-0006-0000-0500-000006000000}">
      <text>
        <r>
          <rPr>
            <b/>
            <sz val="9"/>
            <color indexed="81"/>
            <rFont val="Tahoma"/>
            <family val="2"/>
          </rPr>
          <t>Cadkova, Monika:</t>
        </r>
        <r>
          <rPr>
            <sz val="9"/>
            <color indexed="81"/>
            <rFont val="Tahoma"/>
            <family val="2"/>
          </rPr>
          <t xml:space="preserve">
příspěvek klub Zvonek KD</t>
        </r>
      </text>
    </comment>
    <comment ref="C61" authorId="0" shapeId="0" xr:uid="{00000000-0006-0000-0500-000007000000}">
      <text>
        <r>
          <rPr>
            <b/>
            <sz val="9"/>
            <color indexed="81"/>
            <rFont val="Tahoma"/>
            <family val="2"/>
          </rPr>
          <t>Cadkova, Monika:</t>
        </r>
        <r>
          <rPr>
            <sz val="9"/>
            <color indexed="81"/>
            <rFont val="Tahoma"/>
            <family val="2"/>
          </rPr>
          <t xml:space="preserve">
Cesta za Luckou
</t>
        </r>
      </text>
    </comment>
    <comment ref="C73" authorId="0" shapeId="0" xr:uid="{00000000-0006-0000-0500-000009000000}">
      <text>
        <r>
          <rPr>
            <b/>
            <sz val="9"/>
            <color indexed="81"/>
            <rFont val="Tahoma"/>
            <family val="2"/>
          </rPr>
          <t>Cadkova, Monika:</t>
        </r>
        <r>
          <rPr>
            <sz val="9"/>
            <color indexed="81"/>
            <rFont val="Tahoma"/>
            <family val="2"/>
          </rPr>
          <t xml:space="preserve">
nebezpečné odpady</t>
        </r>
      </text>
    </comment>
    <comment ref="C75" authorId="0" shapeId="0" xr:uid="{00000000-0006-0000-0500-00000A000000}">
      <text>
        <r>
          <rPr>
            <b/>
            <sz val="9"/>
            <color indexed="81"/>
            <rFont val="Tahoma"/>
            <family val="2"/>
          </rPr>
          <t>Cadkova, Monika:</t>
        </r>
        <r>
          <rPr>
            <sz val="9"/>
            <color indexed="81"/>
            <rFont val="Tahoma"/>
            <family val="2"/>
          </rPr>
          <t xml:space="preserve">
klasické popelnice</t>
        </r>
      </text>
    </comment>
    <comment ref="C77" authorId="0" shapeId="0" xr:uid="{00000000-0006-0000-0500-00000B000000}">
      <text>
        <r>
          <rPr>
            <b/>
            <sz val="9"/>
            <color indexed="81"/>
            <rFont val="Tahoma"/>
            <family val="2"/>
          </rPr>
          <t>Cadkova, Monika:</t>
        </r>
        <r>
          <rPr>
            <sz val="9"/>
            <color indexed="81"/>
            <rFont val="Tahoma"/>
            <family val="2"/>
          </rPr>
          <t xml:space="preserve">
tříděný odpad</t>
        </r>
      </text>
    </comment>
    <comment ref="C84" authorId="0" shapeId="0" xr:uid="{00000000-0006-0000-0500-00000C000000}">
      <text>
        <r>
          <rPr>
            <b/>
            <sz val="9"/>
            <color indexed="81"/>
            <rFont val="Tahoma"/>
            <family val="2"/>
          </rPr>
          <t>Cadkova, Monika:</t>
        </r>
        <r>
          <rPr>
            <sz val="9"/>
            <color indexed="81"/>
            <rFont val="Tahoma"/>
            <family val="2"/>
          </rPr>
          <t xml:space="preserve">
domov seniorů zdice</t>
        </r>
      </text>
    </comment>
    <comment ref="C86" authorId="0" shapeId="0" xr:uid="{00000000-0006-0000-0500-00000D000000}">
      <text>
        <r>
          <rPr>
            <b/>
            <sz val="9"/>
            <color indexed="81"/>
            <rFont val="Tahoma"/>
            <family val="2"/>
          </rPr>
          <t>Cadkova, Monika:</t>
        </r>
        <r>
          <rPr>
            <sz val="9"/>
            <color indexed="81"/>
            <rFont val="Tahoma"/>
            <family val="2"/>
          </rPr>
          <t xml:space="preserve">
ze zákona</t>
        </r>
      </text>
    </comment>
    <comment ref="C105" authorId="0" shapeId="0" xr:uid="{00000000-0006-0000-0500-00000E000000}">
      <text>
        <r>
          <rPr>
            <b/>
            <sz val="9"/>
            <color indexed="81"/>
            <rFont val="Tahoma"/>
            <family val="2"/>
          </rPr>
          <t>Cadkova, Monika:</t>
        </r>
        <r>
          <rPr>
            <sz val="9"/>
            <color indexed="81"/>
            <rFont val="Tahoma"/>
            <family val="2"/>
          </rPr>
          <t xml:space="preserve">
pouze Ynka</t>
        </r>
      </text>
    </comment>
    <comment ref="C106" authorId="0" shapeId="0" xr:uid="{00000000-0006-0000-0500-00000F000000}">
      <text>
        <r>
          <rPr>
            <b/>
            <sz val="9"/>
            <color indexed="81"/>
            <rFont val="Tahoma"/>
            <family val="2"/>
          </rPr>
          <t>Cadkova, Monika:</t>
        </r>
        <r>
          <rPr>
            <sz val="9"/>
            <color indexed="81"/>
            <rFont val="Tahoma"/>
            <family val="2"/>
          </rPr>
          <t xml:space="preserve">
dohody</t>
        </r>
      </text>
    </comment>
    <comment ref="C113" authorId="0" shapeId="0" xr:uid="{00000000-0006-0000-0500-000010000000}">
      <text>
        <r>
          <rPr>
            <b/>
            <sz val="9"/>
            <color indexed="81"/>
            <rFont val="Tahoma"/>
            <family val="2"/>
          </rPr>
          <t>Cadkova, Monika:</t>
        </r>
        <r>
          <rPr>
            <sz val="9"/>
            <color indexed="81"/>
            <rFont val="Tahoma"/>
            <family val="2"/>
          </rPr>
          <t xml:space="preserve">
hypotéka</t>
        </r>
      </text>
    </comment>
    <comment ref="C117" authorId="0" shapeId="0" xr:uid="{00000000-0006-0000-0500-000011000000}">
      <text>
        <r>
          <rPr>
            <b/>
            <sz val="9"/>
            <color indexed="81"/>
            <rFont val="Tahoma"/>
            <family val="2"/>
          </rPr>
          <t>Cadkova, Monika:</t>
        </r>
        <r>
          <rPr>
            <sz val="9"/>
            <color indexed="81"/>
            <rFont val="Tahoma"/>
            <family val="2"/>
          </rPr>
          <t xml:space="preserve">
pojištění</t>
        </r>
      </text>
    </comment>
    <comment ref="C118" authorId="0" shapeId="0" xr:uid="{00000000-0006-0000-0500-000012000000}">
      <text>
        <r>
          <rPr>
            <b/>
            <sz val="9"/>
            <color indexed="81"/>
            <rFont val="Tahoma"/>
            <family val="2"/>
          </rPr>
          <t>Cadkova, Monika: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<sst xmlns="http://schemas.openxmlformats.org/spreadsheetml/2006/main" count="979" uniqueCount="479">
  <si>
    <t>Celkem</t>
  </si>
  <si>
    <t>Převody vlastním fondům v rozpočtech územní úrovně</t>
  </si>
  <si>
    <t>XXXX</t>
  </si>
  <si>
    <t>6330</t>
  </si>
  <si>
    <t>Převody z vlastní pokladny</t>
  </si>
  <si>
    <t>Obecné příjmy a výdaje z finančních operací</t>
  </si>
  <si>
    <t>6310</t>
  </si>
  <si>
    <t>Příjem z úroků</t>
  </si>
  <si>
    <t>Humanitární zahraniční pomoc přímá</t>
  </si>
  <si>
    <t>6221</t>
  </si>
  <si>
    <t>2321</t>
  </si>
  <si>
    <t>Příjem z poskytování služeb, výrobků, prací, výkonů a práv</t>
  </si>
  <si>
    <t>Činnost místní správy</t>
  </si>
  <si>
    <t>6171</t>
  </si>
  <si>
    <t>Péče o vzhled obcí a veřejnou zeleň</t>
  </si>
  <si>
    <t>3745</t>
  </si>
  <si>
    <t>Text</t>
  </si>
  <si>
    <t>Položka</t>
  </si>
  <si>
    <t>Paragraf</t>
  </si>
  <si>
    <t>Sběr a svoz ostatních odpadů jiných než nebezpečných a komunálních</t>
  </si>
  <si>
    <t>3723</t>
  </si>
  <si>
    <t>Komunální služby a územní rozvoj jinde nezařazené</t>
  </si>
  <si>
    <t>3639</t>
  </si>
  <si>
    <t>Územní rozvoj</t>
  </si>
  <si>
    <t>3636</t>
  </si>
  <si>
    <t>Přijaté příspěvky od osob na pořízení dlouhodobého majetku</t>
  </si>
  <si>
    <t>Bytové hospodářství</t>
  </si>
  <si>
    <t>3612</t>
  </si>
  <si>
    <t>Příjem z pronájmu nebo pachtu ostatních nemovitých věcí a jejich částí</t>
  </si>
  <si>
    <t>Zájmová činnost v kultuře</t>
  </si>
  <si>
    <t>3392</t>
  </si>
  <si>
    <t>Přijaté dary na pořízení dlouhodobého majetku</t>
  </si>
  <si>
    <t>Mateřské školy</t>
  </si>
  <si>
    <t>3111</t>
  </si>
  <si>
    <t>Příjem z pojistných plnění</t>
  </si>
  <si>
    <t>Silnice</t>
  </si>
  <si>
    <t>2212</t>
  </si>
  <si>
    <t>Pěstební činnost</t>
  </si>
  <si>
    <t>1031</t>
  </si>
  <si>
    <t>Udržování výrobního potenciálu zemědělství, zemědělský půdní fond a mimoprodukční funkce zemědělství</t>
  </si>
  <si>
    <t>1011</t>
  </si>
  <si>
    <t>Příjem z prodeje pozemků</t>
  </si>
  <si>
    <t>Příjem z pronájmu nebo pachtu pozemků</t>
  </si>
  <si>
    <t>Bez paragrafu</t>
  </si>
  <si>
    <t>Neinvestiční přijaté transfery ze státního rozpočtu v rámci souhrnného dotačního vztahu</t>
  </si>
  <si>
    <t>Neinvestiční přijaté transfery z všeobecné pokladní správy státního rozpočtu</t>
  </si>
  <si>
    <t>Splátky půjčených prostředků od obecně prospěšných společností a obdobných osob</t>
  </si>
  <si>
    <t>Příjem z daně z nemovitých věcí</t>
  </si>
  <si>
    <t>Příjem z daně z hazardních her s výjimkou dílčí daně z technických her</t>
  </si>
  <si>
    <t>Příjem ze správních poplatků</t>
  </si>
  <si>
    <t>Příjem z poplatku za obecní systém odpadového hospodářství a příjem z poplatku za odkládání komunálního odpadu z nemovité věci</t>
  </si>
  <si>
    <t>Příjem z poplatku za užívání veřejného prostranství</t>
  </si>
  <si>
    <t>Příjem z poplatku ze psů</t>
  </si>
  <si>
    <t>Příjem z odvodů za odnětí půdy ze zemědělského půdního fondu podle zákona upravujícího ochranu zemědělského půdního fondu</t>
  </si>
  <si>
    <t>Příjem z daně z přidané hodnoty</t>
  </si>
  <si>
    <t>Příjem z daně z příjmů právnických osob</t>
  </si>
  <si>
    <t>Příjem z daně z příjmů fyzických osob vybírané srážkou podle zvláštní sazby daně</t>
  </si>
  <si>
    <t>Příjem z daně z příjmů fyzických osob placené poplatníky</t>
  </si>
  <si>
    <t>Příjem z daně z příjmů fyzických osob placené plátci</t>
  </si>
  <si>
    <t>I. Rozpočtové příjmy</t>
  </si>
  <si>
    <t>II. Rozpočtové výdaje</t>
  </si>
  <si>
    <t>5163</t>
  </si>
  <si>
    <t>Služby peněžních ústavů</t>
  </si>
  <si>
    <t>5169</t>
  </si>
  <si>
    <t>Nákup ostatních služeb</t>
  </si>
  <si>
    <t>5139</t>
  </si>
  <si>
    <t>Nákup materiálu jinde nezařazený</t>
  </si>
  <si>
    <t>5171</t>
  </si>
  <si>
    <t>Opravy a udržování</t>
  </si>
  <si>
    <t>6121</t>
  </si>
  <si>
    <t>Stavby</t>
  </si>
  <si>
    <t>2310</t>
  </si>
  <si>
    <t>5151</t>
  </si>
  <si>
    <t>Studená voda včetně stočného a úplaty za odvod dešťových vod</t>
  </si>
  <si>
    <t>Pitná voda</t>
  </si>
  <si>
    <t>5329</t>
  </si>
  <si>
    <t>Ostatní neinvestiční transfery rozpočtům územní úrovně</t>
  </si>
  <si>
    <t>Odvádění a čistění odpadních vod a nakládání s kaly</t>
  </si>
  <si>
    <t>5153</t>
  </si>
  <si>
    <t>Plyn</t>
  </si>
  <si>
    <t>5154</t>
  </si>
  <si>
    <t>Elektrická energie</t>
  </si>
  <si>
    <t>5162</t>
  </si>
  <si>
    <t>Služby elektronických komunikací</t>
  </si>
  <si>
    <t>5331</t>
  </si>
  <si>
    <t>Neinvestiční příspěvky zřízeným příspěvkovým organizacím</t>
  </si>
  <si>
    <t>3113</t>
  </si>
  <si>
    <t>6341</t>
  </si>
  <si>
    <t>Investiční transfery obcím</t>
  </si>
  <si>
    <t>Základní školy</t>
  </si>
  <si>
    <t>3341</t>
  </si>
  <si>
    <t>5137</t>
  </si>
  <si>
    <t>Drobný dlouhodobý hmotný majetek</t>
  </si>
  <si>
    <t>Rozhlas a televize</t>
  </si>
  <si>
    <t>5021</t>
  </si>
  <si>
    <t>Ostatní osobní výdaje</t>
  </si>
  <si>
    <t>5175</t>
  </si>
  <si>
    <t>Pohoštění</t>
  </si>
  <si>
    <t>3399</t>
  </si>
  <si>
    <t>5194</t>
  </si>
  <si>
    <t>Výdaje na věcné dary</t>
  </si>
  <si>
    <t>Ostatní záležitosti kultury, církví a sdělovacích prostředků</t>
  </si>
  <si>
    <t>3419</t>
  </si>
  <si>
    <t>5156</t>
  </si>
  <si>
    <t>Pohonné hmoty a maziva</t>
  </si>
  <si>
    <t>Ostatní sportovní činnost</t>
  </si>
  <si>
    <t>3543</t>
  </si>
  <si>
    <t>5229</t>
  </si>
  <si>
    <t>Ostatní neinvestiční transfery neziskovým a podobným osobám</t>
  </si>
  <si>
    <t>Pomoc zdravotně postiženým</t>
  </si>
  <si>
    <t>3631</t>
  </si>
  <si>
    <t>Veřejné osvětlení</t>
  </si>
  <si>
    <t>3632</t>
  </si>
  <si>
    <t>5192</t>
  </si>
  <si>
    <t>Poskytnuté náhrady</t>
  </si>
  <si>
    <t>Pohřebnictví</t>
  </si>
  <si>
    <t>5011</t>
  </si>
  <si>
    <t>Platy zaměstnanců v pracovním poměru vyjma zaměstnanců na služebních místech</t>
  </si>
  <si>
    <t>5141</t>
  </si>
  <si>
    <t>Úroky vlastní</t>
  </si>
  <si>
    <t>6122</t>
  </si>
  <si>
    <t>Stroje, přístroje a zařízení</t>
  </si>
  <si>
    <t>3721</t>
  </si>
  <si>
    <t>Sběr a svoz nebezpečných odpadů</t>
  </si>
  <si>
    <t>3722</t>
  </si>
  <si>
    <t>Sběr a svoz komunálních odpadů</t>
  </si>
  <si>
    <t>4357</t>
  </si>
  <si>
    <t>Domovy pro osoby se zdravotním postižením a domovy se zvláštním režimem</t>
  </si>
  <si>
    <t>5132</t>
  </si>
  <si>
    <t>Ochranné pomůcky</t>
  </si>
  <si>
    <t>5901</t>
  </si>
  <si>
    <t>Nespecifikované rezervy</t>
  </si>
  <si>
    <t>5512</t>
  </si>
  <si>
    <t>Požární ochrana - dobrovolná část</t>
  </si>
  <si>
    <t>6112</t>
  </si>
  <si>
    <t>5023</t>
  </si>
  <si>
    <t>Odměny členů zastupitelstev obcí a krajů</t>
  </si>
  <si>
    <t>Zastupitelstva obcí</t>
  </si>
  <si>
    <t>6115</t>
  </si>
  <si>
    <t>Volby do zastupitelstev územních samosprávných celků</t>
  </si>
  <si>
    <t>5031</t>
  </si>
  <si>
    <t>Povinné pojistné na sociální zabezpečení a příspěvek na státní politiku zaměstnanosti</t>
  </si>
  <si>
    <t>5032</t>
  </si>
  <si>
    <t>Povinné pojistné na veřejné zdravotní pojištění</t>
  </si>
  <si>
    <t>5038</t>
  </si>
  <si>
    <t>Pojistné na zákonné pojištění odpovědnosti zaměstnavatele za škodu při pracovním úrazu nebo nemoci z povolání</t>
  </si>
  <si>
    <t>5161</t>
  </si>
  <si>
    <t>Poštovní služby</t>
  </si>
  <si>
    <t>5321</t>
  </si>
  <si>
    <t>Neinvestiční transfery obcím</t>
  </si>
  <si>
    <t>5345</t>
  </si>
  <si>
    <t>Převody vlastním rozpočtovým účtům</t>
  </si>
  <si>
    <t>5348</t>
  </si>
  <si>
    <t>Převody do vlastní pokladny</t>
  </si>
  <si>
    <t>Poplatek za provoz systému shromažďování, sběru, přepravy</t>
  </si>
  <si>
    <t>Ostatní neinvestič.přijaté transfery ze stát.rozpočtu</t>
  </si>
  <si>
    <t>Neinvestiční přijaté transfery od krajů</t>
  </si>
  <si>
    <t>Ostatní investiční přijaté transfery ze stát. rozpočtu</t>
  </si>
  <si>
    <t>Investiční přijaté transfery od krajů</t>
  </si>
  <si>
    <t>6399</t>
  </si>
  <si>
    <t>3201</t>
  </si>
  <si>
    <t>Příjmy z prodeje akcií</t>
  </si>
  <si>
    <t>Ostatní finanční operace</t>
  </si>
  <si>
    <t>Drobný hmotný dlouhodobý majetek</t>
  </si>
  <si>
    <t>Příjmy</t>
  </si>
  <si>
    <t>OOPP (ochranné pomůcky)</t>
  </si>
  <si>
    <t>Krizová opatření</t>
  </si>
  <si>
    <t>Komentář</t>
  </si>
  <si>
    <t>Výdaje</t>
  </si>
  <si>
    <t>Balance</t>
  </si>
  <si>
    <t>Plánované výdaje JSDH Chodouň na rok 2023</t>
  </si>
  <si>
    <t>Oprava Tatry</t>
  </si>
  <si>
    <t>plechy</t>
  </si>
  <si>
    <t>spojovací materiál</t>
  </si>
  <si>
    <t>osvětlení</t>
  </si>
  <si>
    <t>hladinoměr</t>
  </si>
  <si>
    <t>vzduchové vedení</t>
  </si>
  <si>
    <t>oprava kabiny</t>
  </si>
  <si>
    <t>vybavení nástaveb</t>
  </si>
  <si>
    <t>barvy</t>
  </si>
  <si>
    <t>Oblečení</t>
  </si>
  <si>
    <t>Nastavovací hliníkový žebřík</t>
  </si>
  <si>
    <t>Technická prohlídka</t>
  </si>
  <si>
    <t>Nafta</t>
  </si>
  <si>
    <t>Elektřina</t>
  </si>
  <si>
    <t>Mzdy</t>
  </si>
  <si>
    <t>Plán celkem</t>
  </si>
  <si>
    <t>Kč</t>
  </si>
  <si>
    <t>mail: Obec 8.11.</t>
  </si>
  <si>
    <t>voda</t>
  </si>
  <si>
    <t>ostatní provoz</t>
  </si>
  <si>
    <t>elektřina</t>
  </si>
  <si>
    <t>dle letošní faktury, zatím není účtována</t>
  </si>
  <si>
    <t>Provoz</t>
  </si>
  <si>
    <t>materiál - vybavení kabin</t>
  </si>
  <si>
    <t>3x vodovodní baterie, 2x vchodové dveře včetně zámků a klik, úsporné osvětlení, ubrusy, židle</t>
  </si>
  <si>
    <t>materiál - údržba hřiště</t>
  </si>
  <si>
    <t>2 nové sloupy před kabinami, plováky do jímky a studny, hadice, spojky, podsedáky</t>
  </si>
  <si>
    <t>zapískování fotbalového hřiště</t>
  </si>
  <si>
    <t>nutná investice pro obnovu fotbalového hřiště, nutno udělat před začátkem jarní sezony (konec února/začátek března - dle počasí)</t>
  </si>
  <si>
    <t>chodník před kabinami</t>
  </si>
  <si>
    <t>nákup a položení zámkové dlažby nebo vylití betonu + obrubníky v prostoru před kabinami</t>
  </si>
  <si>
    <t>Opravy</t>
  </si>
  <si>
    <t>Návrh obce</t>
  </si>
  <si>
    <t>+ investice majetku obce - nešlo by za TJ, ale do nákladů obce, a pouze materiál</t>
  </si>
  <si>
    <t>ostatní osobní výdaje</t>
  </si>
  <si>
    <t>pohonné hmoty</t>
  </si>
  <si>
    <t>sekání trávy, zalévání, hnojení, provzdušňování, bežná údržba kabin, hřiště - správci Hájek, Novák</t>
  </si>
  <si>
    <t>praní dresů dospělých</t>
  </si>
  <si>
    <t>předpokládaný počet přátelských a mistrovských zápasů + oslavy = 30</t>
  </si>
  <si>
    <t>děti</t>
  </si>
  <si>
    <t>pronájem kulturního domu, ozvučení fotbalového hřiště, kapela, odměny pro účinkující, propagační materiály</t>
  </si>
  <si>
    <t>zajištění oslav</t>
  </si>
  <si>
    <t>Sponzorství</t>
  </si>
  <si>
    <t>+ příspěvek na oslavy 80 let TJ - stejná výše i pro SDH</t>
  </si>
  <si>
    <r>
      <t>4 dětské kategorie (pohybové hry, mladší přípravka, starší přípravka, mladší žáci, v rámci domácích turnajů mladší a starší přípravky</t>
    </r>
    <r>
      <rPr>
        <b/>
        <sz val="11"/>
        <color theme="1"/>
        <rFont val="Calibri"/>
        <family val="2"/>
        <scheme val="minor"/>
      </rPr>
      <t xml:space="preserve"> ceny </t>
    </r>
    <r>
      <rPr>
        <sz val="11"/>
        <color theme="1"/>
        <rFont val="Calibri"/>
        <family val="2"/>
        <scheme val="minor"/>
      </rPr>
      <t xml:space="preserve">pro všechny zúčastněné týmy (průměrně 6 týmů na turnaj = 60 dětí), v průměru na domácím hřišti odehrajeme 5 takových turnajů, </t>
    </r>
    <r>
      <rPr>
        <b/>
        <sz val="11"/>
        <color theme="1"/>
        <rFont val="Calibri"/>
        <family val="2"/>
        <scheme val="minor"/>
      </rPr>
      <t xml:space="preserve">pronájem hal </t>
    </r>
    <r>
      <rPr>
        <sz val="11"/>
        <color theme="1"/>
        <rFont val="Calibri"/>
        <family val="2"/>
        <scheme val="minor"/>
      </rPr>
      <t>v rámci okresu Beroun pro všechny kategorie</t>
    </r>
  </si>
  <si>
    <t>Návrh TJ</t>
  </si>
  <si>
    <t>CELKEM TJ</t>
  </si>
  <si>
    <t>Komentář TJ</t>
  </si>
  <si>
    <t>Komentář obec</t>
  </si>
  <si>
    <t>TJ by měla hradit z příspěvků/brigádní účast členů TJ</t>
  </si>
  <si>
    <t>Obec rozhodne, zda je nutné, šlo by z ropočtu obce, jako investice do majetku obce</t>
  </si>
  <si>
    <t>pronájem z příspěvků členů, odměny taktéž, popř. sponzoři/rodiče</t>
  </si>
  <si>
    <t>většina nákladů od sponzorů, z příspěvků, obec jako součást sponzorů</t>
  </si>
  <si>
    <t>Upravený návrh obce</t>
  </si>
  <si>
    <t>CELKEM OBEC</t>
  </si>
  <si>
    <t>Členi děti</t>
  </si>
  <si>
    <t>Členi dospělí</t>
  </si>
  <si>
    <t>celkem</t>
  </si>
  <si>
    <t>z Chodouně</t>
  </si>
  <si>
    <t>ROZPOČET Sportovci 2023</t>
  </si>
  <si>
    <t>dle skutečné faktury/záloh za 2022</t>
  </si>
  <si>
    <t>rozložit do 2 let</t>
  </si>
  <si>
    <t>pouze materiál dle velikosti (m2) a ceny</t>
  </si>
  <si>
    <t>Děti</t>
  </si>
  <si>
    <t>Oslavy</t>
  </si>
  <si>
    <t>konkrétní účel (ne hala)</t>
  </si>
  <si>
    <t>stejně jako SDH</t>
  </si>
  <si>
    <t>zajistí firma? Písek + hnojivo 20tis.</t>
  </si>
  <si>
    <t>Výhled 2024</t>
  </si>
  <si>
    <t>Výhled 2025</t>
  </si>
  <si>
    <t>Investičnní přijaté transfery z všeobecné pokladní správy státního rozpočtu</t>
  </si>
  <si>
    <t>Neinvestiční transfery spolkům</t>
  </si>
  <si>
    <t>Ostatní záležitosti kultury</t>
  </si>
  <si>
    <t>Komentáře</t>
  </si>
  <si>
    <t>kolotoče, popř. parkovací stání</t>
  </si>
  <si>
    <t>na příští rok ano, letos ne, půjčka MAS</t>
  </si>
  <si>
    <t>prodej pozemků</t>
  </si>
  <si>
    <t>těžba dřeva</t>
  </si>
  <si>
    <t>obalovna</t>
  </si>
  <si>
    <t>elektřina z MŠ 2/3</t>
  </si>
  <si>
    <t>pronájmy hospody, vila, sál</t>
  </si>
  <si>
    <t>pronájem bejkárny</t>
  </si>
  <si>
    <t>zálohy energie (5+6)</t>
  </si>
  <si>
    <t>nájmy (11+10)</t>
  </si>
  <si>
    <t>ulice Orlíky</t>
  </si>
  <si>
    <t>sekání do Libomyšle</t>
  </si>
  <si>
    <t>separovaný odpad EKO-KOM</t>
  </si>
  <si>
    <t>termín. vklad</t>
  </si>
  <si>
    <t>85k mzda Běhavý+ rozpočet 65k</t>
  </si>
  <si>
    <t>pojištění lesa</t>
  </si>
  <si>
    <t>posypová sůl, dopravní značení</t>
  </si>
  <si>
    <t>pumpa na návsi</t>
  </si>
  <si>
    <t>vedení kroniky Hurcíková 1k/mes</t>
  </si>
  <si>
    <t>dle záloh do 6/2024</t>
  </si>
  <si>
    <t>DPP v rámci kultury (pohoštění + drobné práce)</t>
  </si>
  <si>
    <t>pomník, jubilanti</t>
  </si>
  <si>
    <t>plošina Hříbal</t>
  </si>
  <si>
    <t>solární lampa 50k</t>
  </si>
  <si>
    <t>splátka auto úrok</t>
  </si>
  <si>
    <t>splátka auto+ opravy, vyklízení, srovnání zeminy</t>
  </si>
  <si>
    <t>svozné kontejnery, vyšší frekvence</t>
  </si>
  <si>
    <t>velkoobjem vyšší frekvence</t>
  </si>
  <si>
    <t>údržba - stráň, staré hřiště</t>
  </si>
  <si>
    <t>ze zákona musí být</t>
  </si>
  <si>
    <t>l2024 budou 2x</t>
  </si>
  <si>
    <t>odměnyčlenům komisí + zpravodaj</t>
  </si>
  <si>
    <t>zákonné pojištění</t>
  </si>
  <si>
    <t>letos tiskárna + PC</t>
  </si>
  <si>
    <t>tonery</t>
  </si>
  <si>
    <t>úroky vila</t>
  </si>
  <si>
    <t>fitko u hasičárny</t>
  </si>
  <si>
    <t>upomínky</t>
  </si>
  <si>
    <t>internet+pevná linka</t>
  </si>
  <si>
    <t>pojištění rámcová smlouva</t>
  </si>
  <si>
    <t>zpravodaj, licence programů, právník daně, GDPR</t>
  </si>
  <si>
    <t>vyúčtování přestupků, jednou ročně</t>
  </si>
  <si>
    <t>centrála (blackout)</t>
  </si>
  <si>
    <t>Schválený rozpočet 2024</t>
  </si>
  <si>
    <t>Rozpočet 2024 po změnách</t>
  </si>
  <si>
    <t>Výsledek 09/2024</t>
  </si>
  <si>
    <t>Příjem z daně z hazardních her s výjimkou z technických her</t>
  </si>
  <si>
    <t>Příjem z daně z technických her neprovozovaných prostřednictvím</t>
  </si>
  <si>
    <t>Ostatní nedaňové příjmy jinde nazařazené</t>
  </si>
  <si>
    <t>09/2024 k rozpočtu</t>
  </si>
  <si>
    <t>Volby do Evropského parlamentu</t>
  </si>
  <si>
    <t>Ostatní záležitosti základního vzdělávání</t>
  </si>
  <si>
    <t>školský výbor</t>
  </si>
  <si>
    <t>Výsledek 10/2024</t>
  </si>
  <si>
    <t>10/2024 k rozpočtu</t>
  </si>
  <si>
    <t>10/2024 k FC</t>
  </si>
  <si>
    <t>XXXXXXXXXXXXXXXXXXXXXXXXXXXXXXXXXXXXXXXXXXXXXXXXXXXXXXXXXXXXXXXXXXXXXXXXXXXXXXXXXXXXXXXXXXXXXXXXXXXXXXXXXXXXXXXXXXXXXXXXXXXXXXXXXXXXXXXXXXXXXXXXXXXXXXXXXXXXXXXXXXXXXXXXXXXXXXXXXXXXXXXXXXXXXXXXXXXXXXXXXXXX</t>
  </si>
  <si>
    <t>Návrh rozpočtu TJ Chodouň pro rok 2024</t>
  </si>
  <si>
    <t>celková částka</t>
  </si>
  <si>
    <t xml:space="preserve">3x vodovodní baterie,1x dveře sklad včetně zámku a kliky, úsporné osvětlení, ubrusy, židle </t>
  </si>
  <si>
    <t>dotažení vody ze strouhy přes pozemek p. Sudíka</t>
  </si>
  <si>
    <t>čerpadlo, výkop 230 m, provizorní řešení hadice 230m, ideální řešení potrubí i s kabelem elektriky z kabin a napojení na jímku k dočerpávání, stav ideální - smlouvy</t>
  </si>
  <si>
    <t>zřízení věcného břemene + smlouvy = etapově</t>
  </si>
  <si>
    <t xml:space="preserve"> obrubníky v prostoru před kabinami ( zámková dlažba již koupena)realizace do konce března 2024 Bezucha, Novák</t>
  </si>
  <si>
    <t xml:space="preserve">5 x dětské kategorie (pohybové hry, mladší přípravka, starší přípravka, mladší žáci, starší žáci) </t>
  </si>
  <si>
    <t>v rámci domácích turnajů mladší a starší přípravky ceny pro všechny zúčastněné týmy (průměrně 6 týmů na turnaj = 60 dětí)</t>
  </si>
  <si>
    <t>v průměru na domácím hřišti odehrajeme 5 takových turnajů</t>
  </si>
  <si>
    <t>schváleno</t>
  </si>
  <si>
    <t>pronájem hal v rámci okresu Beroun pro všechny kategorie</t>
  </si>
  <si>
    <t>upozornit, ať TJ dodá všechny faktury do 12/2023</t>
  </si>
  <si>
    <t>Celkový návrh rozpočtu</t>
  </si>
  <si>
    <t>Úprava kabin pro důstojné občerstvení - nová příčka v kabině domácích, vybudování okna a dveří. Vytvoření samostatné uzavřené části občerstvení</t>
  </si>
  <si>
    <t>a úprava stávající kabiny pro lepší využití pro převlékání pro všechny kategorie a zároveň lepší využití WC během fotbalových zápasů.</t>
  </si>
  <si>
    <t>Finanačně nedokáži odhadnout. V případě domluvy na realizaci by byl osloven p. Bezucha, jako stavební firma pro přesnější rozpočet.</t>
  </si>
  <si>
    <t>Plán 2024</t>
  </si>
  <si>
    <t>Voda + elektřina</t>
  </si>
  <si>
    <t>nejsou faktury za 2023</t>
  </si>
  <si>
    <t>materiál kabiny</t>
  </si>
  <si>
    <t>loni pouze 10k</t>
  </si>
  <si>
    <t>materiál údržba hřiště</t>
  </si>
  <si>
    <t>provoz celkem</t>
  </si>
  <si>
    <t>strouha ????</t>
  </si>
  <si>
    <t>Návrh rozpočtu TJ Chodouň pro rok 2025</t>
  </si>
  <si>
    <t>sekání trávy, zalévání, hnojení, provzdušňování, bežná údržba kabin, hřiště - správci Hájek, Babrňák</t>
  </si>
  <si>
    <t>3x vchodové dveře včetně zámků a klik, úsporné osvětlení, oprava lavic, oprava mříží a oken, židle a 2x nový stůl, zesílení jističe a rozvod elektřiny kabiny</t>
  </si>
  <si>
    <t>předpokládaný počet přátelských a mistrovských zápasů 30</t>
  </si>
  <si>
    <t xml:space="preserve">voda - rozvod vody </t>
  </si>
  <si>
    <t>nutná investice pro správnou údržbu fotbalového hřiště, nutno zajistit dostatečné množství vody k zalévání. Rozvod strouha, druhá studna, jímka.</t>
  </si>
  <si>
    <t>6 dětských kategoriích (pohybové hry, mladší přípravka, starší přípravka, mladší žáci, starší žáci a dorost).</t>
  </si>
  <si>
    <t>v průměru na domácím hřišti odehrajeme 6 takových turnajů</t>
  </si>
  <si>
    <t>pronájem hal v rámci okresu Beroun pro všechny kategorie kromě dorostu a starších žáků. Ty již trénují jen venku kromě posilovny.</t>
  </si>
  <si>
    <t>XXXXXXXXXXXXXXXXXXXXXXXXXXXXXXXXXXXXXXXXXXXXXXXXXXXXXXXXXXXXXXXXXXXXXXXXXXXXXXXXXXXXXXXXXXXXXXXXXXXXXXXXXXXXXXXXXXXXXXXXXXXXXXXXXXXXXXXXXXXXXXXXXXXXXXXXXXXXXXXXXXXXXXXXXXXXXXXXXXXXXXXXXXXXXXXXXXXXXXXXXXXXXXXXXXXXXXXXXXXXXXXX</t>
  </si>
  <si>
    <t>Rozpočet 2024</t>
  </si>
  <si>
    <t>Rozpočet 2023</t>
  </si>
  <si>
    <t>zapískování hřiště</t>
  </si>
  <si>
    <t>oslavy</t>
  </si>
  <si>
    <t>Návrh 2025</t>
  </si>
  <si>
    <t>voda (strouha)</t>
  </si>
  <si>
    <t>ostat.os. výdaje</t>
  </si>
  <si>
    <t>praní dresů</t>
  </si>
  <si>
    <t xml:space="preserve">2024 čerpáno </t>
  </si>
  <si>
    <t>k dočerpání 2024</t>
  </si>
  <si>
    <t>vodné stočné</t>
  </si>
  <si>
    <t>rozpočet bez strouhy</t>
  </si>
  <si>
    <t>Dobrý den,</t>
  </si>
  <si>
    <t>v přílohách posílám výsledovky a rozvahy z řádně vedeného účetnictví klubu TJ Chodouň za roky 2022,2023.</t>
  </si>
  <si>
    <t>Rok 2022 byl již loni řádně odevzdán při tvorbě rozpočtu na rok 2024.</t>
  </si>
  <si>
    <t xml:space="preserve">S ohledem na uvolněnou změnu legislativ od ledna 2025 znovu navrhuji, aby správci hřiště měli dohodu s obcí a z rozpočtu šla </t>
  </si>
  <si>
    <t>mzda za jejich práci na hřišti formou dohody o mzdu. Předem děkuji za zvážení této varianty dle rozhodnutí celého zastupitelstva.</t>
  </si>
  <si>
    <t xml:space="preserve">S ohledem na nemožnost realizovat dotaci,,Kabina,, , která byla prezentována v rámci posledního zastupitelstva je hlavním úkolem klubu udržet </t>
  </si>
  <si>
    <t>stav starých kabin v současném stavu a pokud možno dostat na hřiště co největší množství vody.</t>
  </si>
  <si>
    <t>Současný stav opravdu nestačí !!!</t>
  </si>
  <si>
    <t>Návrh dotažení vody 270 m ze strouhy bohužel v současné době vychází mnohem dráze díky řádnému zajištění smluvních vztahů a cen prací a veškerého</t>
  </si>
  <si>
    <t>materiálu.</t>
  </si>
  <si>
    <t>Z tohoto důvodu navrhuji realizoval tento problém vybudováním druhé kopané studny + následně etapově nádrž na vodu ( podzemní či nadzemní).</t>
  </si>
  <si>
    <t>Pokud by tento návrh obec podpořila, tak by se z letošních nevyčerpaných peněz na investice zaplatila firmě kompletní administrativa s tím spojená</t>
  </si>
  <si>
    <t xml:space="preserve">a následující rok během léta by mohlo dojít k realizaci studny formou na klíč s veškerými povoleními a kolaudací. Doplatek by byl zhruba stejný dle navrženého nového rozpočtu 2025 </t>
  </si>
  <si>
    <t xml:space="preserve">Celková cena 90 000 - 120 000kč za oba rozpočty 2024 a 2025. </t>
  </si>
  <si>
    <t>Díky tomu by se dalo hřiště zalévat zase o něco větším množstvím vody.</t>
  </si>
  <si>
    <t>Realizace aspoň jedné buňky za zděnými kabinami pro možnost zajištění zázemí pro děti bez pomoci obce není v současných možnostech klubu.</t>
  </si>
  <si>
    <t>Tato nová buňka 6 x 3 m prezentována, jako kabina by zlepšila důstojné převlékání všech sportovců během zápasů a hlavně dětských turnajů, kde naše zázemí patří mezi nejhorší na okrese Beroun,</t>
  </si>
  <si>
    <t>kde naše děti startují.</t>
  </si>
  <si>
    <t>mail 1.11. na obec</t>
  </si>
  <si>
    <t>S pozdravem</t>
  </si>
  <si>
    <t>Miloš Kořínek</t>
  </si>
  <si>
    <t>tel : 725 736 211</t>
  </si>
  <si>
    <t>dotace Můj klub</t>
  </si>
  <si>
    <t>příjmy</t>
  </si>
  <si>
    <t>dotace</t>
  </si>
  <si>
    <t>dary</t>
  </si>
  <si>
    <t>členské příspěvky</t>
  </si>
  <si>
    <t>obec</t>
  </si>
  <si>
    <t>???</t>
  </si>
  <si>
    <t>rozvaha</t>
  </si>
  <si>
    <t>pořízení stavby (majetek)</t>
  </si>
  <si>
    <t>peněžní prostředky</t>
  </si>
  <si>
    <t xml:space="preserve">saldo </t>
  </si>
  <si>
    <t>výdaje</t>
  </si>
  <si>
    <t>odpisy ke stavbám</t>
  </si>
  <si>
    <t>odpisy</t>
  </si>
  <si>
    <t>spotřeba mat.,energie</t>
  </si>
  <si>
    <t>opravy</t>
  </si>
  <si>
    <t>repre</t>
  </si>
  <si>
    <t>ostat. služby</t>
  </si>
  <si>
    <t>poskytnuté příspěvky</t>
  </si>
  <si>
    <t>ztráta</t>
  </si>
  <si>
    <t xml:space="preserve">kolik od obce </t>
  </si>
  <si>
    <t>ROZPOČET 2025</t>
  </si>
  <si>
    <t xml:space="preserve">Mateřská škola Chodouň </t>
  </si>
  <si>
    <t xml:space="preserve">NÁKLADY - PROVOZ </t>
  </si>
  <si>
    <t>rozpočet</t>
  </si>
  <si>
    <t xml:space="preserve">úprava </t>
  </si>
  <si>
    <t>rozpočet po úpravě</t>
  </si>
  <si>
    <t>VÝNOSY - PROVOZ</t>
  </si>
  <si>
    <t>úprava</t>
  </si>
  <si>
    <t>Drobný dlouhodobý majetek</t>
  </si>
  <si>
    <t>Školné - MŠ</t>
  </si>
  <si>
    <t>1</t>
  </si>
  <si>
    <t xml:space="preserve">Potraviny </t>
  </si>
  <si>
    <t xml:space="preserve">Stravné </t>
  </si>
  <si>
    <t>Pomůcky, knihy, hračky</t>
  </si>
  <si>
    <t>stravné - děti</t>
  </si>
  <si>
    <t>2</t>
  </si>
  <si>
    <t>Kancelářské potřeby, noviny</t>
  </si>
  <si>
    <t>stravné - zaměstnanci</t>
  </si>
  <si>
    <t>3</t>
  </si>
  <si>
    <t>Ostatní materiál</t>
  </si>
  <si>
    <t>Transfer - zřizovatel</t>
  </si>
  <si>
    <t>4</t>
  </si>
  <si>
    <t>Energie</t>
  </si>
  <si>
    <t>Ostatní výnosy</t>
  </si>
  <si>
    <t>5</t>
  </si>
  <si>
    <t>- el. energie</t>
  </si>
  <si>
    <t>Čerpání  rezervního fondu</t>
  </si>
  <si>
    <t>6</t>
  </si>
  <si>
    <t>- plyn</t>
  </si>
  <si>
    <t>Výnosy celkem</t>
  </si>
  <si>
    <t>-voda</t>
  </si>
  <si>
    <t>- movitých věcí</t>
  </si>
  <si>
    <t>- nemovitostí</t>
  </si>
  <si>
    <t xml:space="preserve">Ostatní služby                          </t>
  </si>
  <si>
    <t>telefony, poštovné, internet</t>
  </si>
  <si>
    <t>účetní služby</t>
  </si>
  <si>
    <t>bankovní poplatky</t>
  </si>
  <si>
    <t xml:space="preserve">ostatní služby                          </t>
  </si>
  <si>
    <t>Náklady - závodní stravování</t>
  </si>
  <si>
    <t>Ostatní náklady, odpisy</t>
  </si>
  <si>
    <t>Náklady celkem</t>
  </si>
  <si>
    <t>NÁKLADY - KÚ</t>
  </si>
  <si>
    <t>VÝNOSY - KÚ</t>
  </si>
  <si>
    <t>UZ 33353 - Platy + OON</t>
  </si>
  <si>
    <t xml:space="preserve">UZ 33353 - KÚ      </t>
  </si>
  <si>
    <t xml:space="preserve">UZ 33353 - Pojistné </t>
  </si>
  <si>
    <t xml:space="preserve">UZ 33353 - FKSP </t>
  </si>
  <si>
    <t xml:space="preserve">UZ 33353 - ONIV </t>
  </si>
  <si>
    <t>NÁKLADY CELKEM</t>
  </si>
  <si>
    <t>VÝNOSY CELKEM</t>
  </si>
  <si>
    <t>INVESTICE</t>
  </si>
  <si>
    <t>ROZPOČET</t>
  </si>
  <si>
    <t>VÝSLEDEK HOSPODAŘENÍ</t>
  </si>
  <si>
    <t>rozpočet 2024</t>
  </si>
  <si>
    <t>Navýšení rozpočtu</t>
  </si>
  <si>
    <t>Rozpočet 2025</t>
  </si>
  <si>
    <t>volby poslan. sněmovna</t>
  </si>
  <si>
    <t>dotace na les, nic 2025</t>
  </si>
  <si>
    <t>dotace SDH</t>
  </si>
  <si>
    <t>honitba + ČEZ využití pozemku</t>
  </si>
  <si>
    <t>dar na ples</t>
  </si>
  <si>
    <t>Převod z rozpočtových účtů</t>
  </si>
  <si>
    <t>topení</t>
  </si>
  <si>
    <t>pivní sety</t>
  </si>
  <si>
    <t>sprchy v bytě, vymalování</t>
  </si>
  <si>
    <t>DD Zdice</t>
  </si>
  <si>
    <t>dary obcím (povodně)</t>
  </si>
  <si>
    <t>JH Rider</t>
  </si>
  <si>
    <t>Mikroregion - nic v 2025</t>
  </si>
  <si>
    <t>kotelna (250k, elektrika, záchody, okna, parkety)</t>
  </si>
  <si>
    <t>+300k topení MŠ, srovnání podlahy</t>
  </si>
  <si>
    <t>realizace 2024</t>
  </si>
  <si>
    <t>navíc od obce voda</t>
  </si>
  <si>
    <t>30k majovníci + divadelníci</t>
  </si>
  <si>
    <t>Dlouhodobé finanční prostředky</t>
  </si>
  <si>
    <t>Dlouhodobé přijaté půjčené prostředky</t>
  </si>
  <si>
    <t>Výsledek 01-10/2024</t>
  </si>
  <si>
    <t>Návrh rozpočtu 2025</t>
  </si>
  <si>
    <t>NÁVRH ROZPOČTU OBCE CHODOUŇ NA ROK 2025</t>
  </si>
  <si>
    <t>výdaje se navýší, až přijde dotace</t>
  </si>
  <si>
    <t>opravy (hospoda 100k) + 500k bar v kulturáku, 150k stezka, 500k hřiště, 50k kaplička - výdaje se navýší, až přijde dotace na stezku</t>
  </si>
  <si>
    <t>i s vodou</t>
  </si>
  <si>
    <t>Výhled 2026</t>
  </si>
  <si>
    <t>Výhled 2027</t>
  </si>
  <si>
    <t>Panský dvůr/Mikroregion 2026</t>
  </si>
  <si>
    <t xml:space="preserve">Příjmy Mikroregion </t>
  </si>
  <si>
    <t>Příjmy Mikroregion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</si>
</sst>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#,##0\ &quot;Kč&quot;"/>
    <numFmt numFmtId="166" formatCode="#,##0_ ;[Red]\-#,##0\ "/>
  </numFmts>
  <fonts count="5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color theme="1"/>
      <name val="Tahoma"/>
      <family val="2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Tahoma"/>
      <family val="2"/>
    </font>
    <font>
      <b/>
      <sz val="8"/>
      <color rgb="FF000000"/>
      <name val="Tahoma"/>
      <family val="2"/>
    </font>
    <font>
      <sz val="8"/>
      <color rgb="FF000000"/>
      <name val="Tahoma"/>
      <family val="2"/>
    </font>
    <font>
      <sz val="8"/>
      <color rgb="FF333333"/>
      <name val="Inherit"/>
    </font>
    <font>
      <b/>
      <sz val="9"/>
      <color theme="1"/>
      <name val="Tahoma"/>
      <family val="2"/>
    </font>
    <font>
      <b/>
      <sz val="8"/>
      <color theme="0"/>
      <name val="Tahoma"/>
      <family val="2"/>
    </font>
    <font>
      <b/>
      <sz val="11"/>
      <color theme="1"/>
      <name val="Calibri"/>
      <family val="2"/>
      <scheme val="minor"/>
    </font>
    <font>
      <strike/>
      <sz val="11"/>
      <color theme="1"/>
      <name val="Calibri"/>
      <family val="2"/>
      <scheme val="minor"/>
    </font>
    <font>
      <b/>
      <strike/>
      <sz val="11"/>
      <color theme="1"/>
      <name val="Calibri"/>
      <family val="2"/>
      <scheme val="minor"/>
    </font>
    <font>
      <b/>
      <sz val="8"/>
      <color theme="1"/>
      <name val="Tahoma"/>
      <family val="2"/>
    </font>
    <font>
      <b/>
      <sz val="10"/>
      <color theme="1"/>
      <name val="Tahoma"/>
      <family val="2"/>
    </font>
    <font>
      <sz val="8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rgb="FF0070C0"/>
      <name val="Tahoma"/>
      <family val="2"/>
    </font>
    <font>
      <b/>
      <sz val="8"/>
      <color rgb="FF0070C0"/>
      <name val="Tahoma"/>
      <family val="2"/>
    </font>
    <font>
      <sz val="8"/>
      <color rgb="FF0070C0"/>
      <name val="Calibri"/>
      <family val="2"/>
      <scheme val="minor"/>
    </font>
    <font>
      <sz val="10"/>
      <color rgb="FF000000"/>
      <name val="Times New Roman"/>
      <family val="1"/>
    </font>
    <font>
      <sz val="11"/>
      <color rgb="FFFF0000"/>
      <name val="Calibri"/>
      <family val="2"/>
      <scheme val="minor"/>
    </font>
    <font>
      <sz val="10"/>
      <color rgb="FF002060"/>
      <name val="Arial"/>
      <family val="2"/>
    </font>
    <font>
      <b/>
      <sz val="11"/>
      <color rgb="FF0070C0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b/>
      <sz val="18"/>
      <color theme="1"/>
      <name val="Times New Roman"/>
      <family val="1"/>
      <charset val="238"/>
    </font>
    <font>
      <b/>
      <sz val="12"/>
      <color rgb="FF0070C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8"/>
      <color rgb="FF0070C0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0"/>
      <color rgb="FF0070C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i/>
      <sz val="9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b/>
      <i/>
      <sz val="10"/>
      <color theme="1"/>
      <name val="Times New Roman"/>
      <family val="1"/>
      <charset val="238"/>
    </font>
    <font>
      <b/>
      <i/>
      <sz val="9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sz val="14"/>
      <color rgb="FFFF0000"/>
      <name val="Times New Roman"/>
      <family val="1"/>
      <charset val="238"/>
    </font>
    <font>
      <b/>
      <sz val="14"/>
      <color theme="1"/>
      <name val="Tahoma"/>
      <family val="2"/>
    </font>
    <font>
      <sz val="10"/>
      <color rgb="FFFF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BFE4FF"/>
      </patternFill>
    </fill>
    <fill>
      <patternFill patternType="solid">
        <fgColor rgb="FFE5F2FF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</fills>
  <borders count="95">
    <border>
      <left/>
      <right/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rgb="FF000000"/>
      </right>
      <top style="medium">
        <color indexed="64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indexed="64"/>
      </top>
      <bottom style="hair">
        <color rgb="FF000000"/>
      </bottom>
      <diagonal/>
    </border>
    <border>
      <left style="hair">
        <color rgb="FF000000"/>
      </left>
      <right style="medium">
        <color indexed="64"/>
      </right>
      <top style="medium">
        <color indexed="64"/>
      </top>
      <bottom style="hair">
        <color rgb="FF000000"/>
      </bottom>
      <diagonal/>
    </border>
    <border>
      <left style="medium">
        <color indexed="64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medium">
        <color indexed="64"/>
      </left>
      <right style="hair">
        <color rgb="FF000000"/>
      </right>
      <top style="hair">
        <color rgb="FF000000"/>
      </top>
      <bottom style="medium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indexed="64"/>
      </bottom>
      <diagonal/>
    </border>
    <border>
      <left style="medium">
        <color indexed="64"/>
      </left>
      <right style="mediumDashed">
        <color theme="0" tint="-0.24994659260841701"/>
      </right>
      <top style="mediumDashed">
        <color theme="0" tint="-0.24994659260841701"/>
      </top>
      <bottom style="mediumDashed">
        <color theme="0" tint="-0.24994659260841701"/>
      </bottom>
      <diagonal/>
    </border>
    <border>
      <left style="mediumDashed">
        <color theme="0" tint="-0.24994659260841701"/>
      </left>
      <right style="medium">
        <color indexed="64"/>
      </right>
      <top style="mediumDashed">
        <color theme="0" tint="-0.24994659260841701"/>
      </top>
      <bottom style="mediumDashed">
        <color theme="0" tint="-0.24994659260841701"/>
      </bottom>
      <diagonal/>
    </border>
    <border>
      <left style="medium">
        <color indexed="64"/>
      </left>
      <right style="mediumDashed">
        <color theme="0" tint="-0.24994659260841701"/>
      </right>
      <top/>
      <bottom style="mediumDashed">
        <color theme="0" tint="-0.24994659260841701"/>
      </bottom>
      <diagonal/>
    </border>
    <border>
      <left style="mediumDashed">
        <color theme="0" tint="-0.24994659260841701"/>
      </left>
      <right style="medium">
        <color indexed="64"/>
      </right>
      <top/>
      <bottom style="mediumDashed">
        <color theme="0" tint="-0.24994659260841701"/>
      </bottom>
      <diagonal/>
    </border>
    <border>
      <left style="medium">
        <color indexed="64"/>
      </left>
      <right style="hair">
        <color rgb="FF000000"/>
      </right>
      <top style="medium">
        <color indexed="64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Dashed">
        <color theme="0" tint="-0.24994659260841701"/>
      </right>
      <top/>
      <bottom style="mediumDashed">
        <color theme="0" tint="-0.24994659260841701"/>
      </bottom>
      <diagonal/>
    </border>
    <border>
      <left/>
      <right style="mediumDashed">
        <color theme="0" tint="-0.24994659260841701"/>
      </right>
      <top style="mediumDashed">
        <color theme="0" tint="-0.24994659260841701"/>
      </top>
      <bottom style="mediumDashed">
        <color theme="0" tint="-0.24994659260841701"/>
      </bottom>
      <diagonal/>
    </border>
    <border>
      <left style="medium">
        <color indexed="64"/>
      </left>
      <right style="mediumDashed">
        <color theme="0" tint="-0.24994659260841701"/>
      </right>
      <top style="medium">
        <color indexed="64"/>
      </top>
      <bottom style="mediumDashed">
        <color theme="0" tint="-0.24994659260841701"/>
      </bottom>
      <diagonal/>
    </border>
    <border>
      <left style="mediumDashed">
        <color theme="0" tint="-0.24994659260841701"/>
      </left>
      <right style="medium">
        <color indexed="64"/>
      </right>
      <top style="medium">
        <color indexed="64"/>
      </top>
      <bottom style="mediumDashed">
        <color theme="0" tint="-0.24994659260841701"/>
      </bottom>
      <diagonal/>
    </border>
    <border>
      <left/>
      <right style="mediumDashed">
        <color theme="0" tint="-0.24994659260841701"/>
      </right>
      <top style="medium">
        <color indexed="64"/>
      </top>
      <bottom style="mediumDashed">
        <color theme="0" tint="-0.24994659260841701"/>
      </bottom>
      <diagonal/>
    </border>
    <border>
      <left style="medium">
        <color indexed="64"/>
      </left>
      <right style="mediumDashed">
        <color theme="0" tint="-0.24994659260841701"/>
      </right>
      <top style="mediumDashed">
        <color theme="0" tint="-0.24994659260841701"/>
      </top>
      <bottom/>
      <diagonal/>
    </border>
    <border>
      <left style="mediumDashed">
        <color theme="0" tint="-0.24994659260841701"/>
      </left>
      <right style="medium">
        <color indexed="64"/>
      </right>
      <top style="mediumDashed">
        <color theme="0" tint="-0.24994659260841701"/>
      </top>
      <bottom/>
      <diagonal/>
    </border>
    <border>
      <left/>
      <right style="mediumDashed">
        <color theme="0" tint="-0.24994659260841701"/>
      </right>
      <top style="mediumDashed">
        <color theme="0" tint="-0.24994659260841701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Dashed">
        <color theme="0" tint="-0.24994659260841701"/>
      </right>
      <top style="mediumDashed">
        <color theme="0" tint="-0.24994659260841701"/>
      </top>
      <bottom style="medium">
        <color indexed="64"/>
      </bottom>
      <diagonal/>
    </border>
    <border>
      <left/>
      <right style="mediumDashed">
        <color theme="0" tint="-0.24994659260841701"/>
      </right>
      <top style="mediumDashed">
        <color theme="0" tint="-0.2499465926084170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Dashed">
        <color theme="0" tint="-0.24994659260841701"/>
      </bottom>
      <diagonal/>
    </border>
    <border>
      <left style="medium">
        <color indexed="64"/>
      </left>
      <right/>
      <top style="mediumDashed">
        <color theme="0" tint="-0.24994659260841701"/>
      </top>
      <bottom style="mediumDashed">
        <color theme="0" tint="-0.24994659260841701"/>
      </bottom>
      <diagonal/>
    </border>
    <border>
      <left style="medium">
        <color indexed="64"/>
      </left>
      <right/>
      <top/>
      <bottom style="mediumDashed">
        <color theme="0" tint="-0.24994659260841701"/>
      </bottom>
      <diagonal/>
    </border>
    <border>
      <left style="medium">
        <color indexed="64"/>
      </left>
      <right/>
      <top style="mediumDashed">
        <color theme="0" tint="-0.24994659260841701"/>
      </top>
      <bottom/>
      <diagonal/>
    </border>
    <border>
      <left style="mediumDashed">
        <color theme="0" tint="-0.24994659260841701"/>
      </left>
      <right style="medium">
        <color indexed="64"/>
      </right>
      <top style="mediumDashed">
        <color theme="0" tint="-0.24994659260841701"/>
      </top>
      <bottom style="medium">
        <color indexed="64"/>
      </bottom>
      <diagonal/>
    </border>
    <border diagonalUp="1" diagonalDown="1">
      <left/>
      <right/>
      <top/>
      <bottom/>
      <diagonal style="thin">
        <color auto="1"/>
      </diagonal>
    </border>
    <border>
      <left/>
      <right/>
      <top/>
      <bottom style="medium">
        <color auto="1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Dashed">
        <color theme="0" tint="-0.24994659260841701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hair">
        <color rgb="FF000000"/>
      </left>
      <right style="dotted">
        <color rgb="FF000000"/>
      </right>
      <top style="medium">
        <color indexed="64"/>
      </top>
      <bottom style="medium">
        <color indexed="64"/>
      </bottom>
      <diagonal/>
    </border>
    <border>
      <left style="mediumDashed">
        <color theme="0" tint="-0.24994659260841701"/>
      </left>
      <right style="mediumDashed">
        <color theme="0" tint="-0.24994659260841701"/>
      </right>
      <top style="medium">
        <color indexed="64"/>
      </top>
      <bottom style="mediumDashed">
        <color theme="0" tint="-0.24994659260841701"/>
      </bottom>
      <diagonal/>
    </border>
    <border>
      <left style="mediumDashed">
        <color theme="0" tint="-0.24994659260841701"/>
      </left>
      <right style="mediumDashed">
        <color theme="0" tint="-0.24994659260841701"/>
      </right>
      <top style="mediumDashed">
        <color theme="0" tint="-0.24994659260841701"/>
      </top>
      <bottom style="mediumDashed">
        <color theme="0" tint="-0.24994659260841701"/>
      </bottom>
      <diagonal/>
    </border>
    <border>
      <left style="mediumDashed">
        <color theme="0" tint="-0.24994659260841701"/>
      </left>
      <right style="mediumDashed">
        <color theme="0" tint="-0.24994659260841701"/>
      </right>
      <top/>
      <bottom style="mediumDashed">
        <color theme="0" tint="-0.24994659260841701"/>
      </bottom>
      <diagonal/>
    </border>
    <border>
      <left style="mediumDashed">
        <color theme="0" tint="-0.24994659260841701"/>
      </left>
      <right style="mediumDashed">
        <color theme="0" tint="-0.24994659260841701"/>
      </right>
      <top style="mediumDashed">
        <color theme="0" tint="-0.24994659260841701"/>
      </top>
      <bottom/>
      <diagonal/>
    </border>
    <border>
      <left style="mediumDashed">
        <color theme="0" tint="-0.24994659260841701"/>
      </left>
      <right style="mediumDashed">
        <color theme="0" tint="-0.24994659260841701"/>
      </right>
      <top style="mediumDashed">
        <color theme="0" tint="-0.24994659260841701"/>
      </top>
      <bottom style="medium">
        <color indexed="64"/>
      </bottom>
      <diagonal/>
    </border>
    <border>
      <left style="hair">
        <color rgb="FF000000"/>
      </left>
      <right style="dotted">
        <color rgb="FF000000"/>
      </right>
      <top style="medium">
        <color indexed="64"/>
      </top>
      <bottom style="hair">
        <color rgb="FF000000"/>
      </bottom>
      <diagonal/>
    </border>
    <border>
      <left style="dotted">
        <color rgb="FF000000"/>
      </left>
      <right style="dotted">
        <color rgb="FF000000"/>
      </right>
      <top style="medium">
        <color indexed="64"/>
      </top>
      <bottom style="hair">
        <color rgb="FF000000"/>
      </bottom>
      <diagonal/>
    </border>
    <border>
      <left style="dotted">
        <color rgb="FF000000"/>
      </left>
      <right style="hair">
        <color rgb="FF000000"/>
      </right>
      <top style="medium">
        <color indexed="64"/>
      </top>
      <bottom style="hair">
        <color rgb="FF000000"/>
      </bottom>
      <diagonal/>
    </border>
    <border>
      <left style="hair">
        <color rgb="FF000000"/>
      </left>
      <right style="dotted">
        <color rgb="FF000000"/>
      </right>
      <top style="hair">
        <color rgb="FF000000"/>
      </top>
      <bottom style="hair">
        <color rgb="FF000000"/>
      </bottom>
      <diagonal/>
    </border>
    <border>
      <left style="dotted">
        <color rgb="FF000000"/>
      </left>
      <right style="dotted">
        <color rgb="FF000000"/>
      </right>
      <top style="hair">
        <color rgb="FF000000"/>
      </top>
      <bottom style="hair">
        <color rgb="FF000000"/>
      </bottom>
      <diagonal/>
    </border>
    <border>
      <left style="dotted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dotted">
        <color rgb="FF000000"/>
      </right>
      <top style="hair">
        <color rgb="FF000000"/>
      </top>
      <bottom style="medium">
        <color indexed="64"/>
      </bottom>
      <diagonal/>
    </border>
    <border>
      <left style="dotted">
        <color rgb="FF000000"/>
      </left>
      <right style="dotted">
        <color rgb="FF000000"/>
      </right>
      <top style="hair">
        <color rgb="FF000000"/>
      </top>
      <bottom style="medium">
        <color indexed="64"/>
      </bottom>
      <diagonal/>
    </border>
    <border>
      <left style="dotted">
        <color rgb="FF000000"/>
      </left>
      <right style="hair">
        <color rgb="FF000000"/>
      </right>
      <top style="hair">
        <color rgb="FF000000"/>
      </top>
      <bottom style="medium">
        <color indexed="64"/>
      </bottom>
      <diagonal/>
    </border>
  </borders>
  <cellStyleXfs count="8">
    <xf numFmtId="0" fontId="0" fillId="0" borderId="0"/>
    <xf numFmtId="9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5" fillId="0" borderId="0"/>
    <xf numFmtId="9" fontId="1" fillId="0" borderId="0" applyFont="0" applyFill="0" applyBorder="0" applyAlignment="0" applyProtection="0"/>
    <xf numFmtId="0" fontId="1" fillId="0" borderId="0"/>
  </cellStyleXfs>
  <cellXfs count="327">
    <xf numFmtId="0" fontId="0" fillId="0" borderId="0" xfId="0"/>
    <xf numFmtId="0" fontId="4" fillId="0" borderId="0" xfId="0" applyFont="1"/>
    <xf numFmtId="0" fontId="4" fillId="0" borderId="0" xfId="0" quotePrefix="1" applyFont="1"/>
    <xf numFmtId="0" fontId="6" fillId="0" borderId="0" xfId="0" applyFont="1"/>
    <xf numFmtId="0" fontId="9" fillId="3" borderId="1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left" vertical="center" wrapText="1"/>
    </xf>
    <xf numFmtId="4" fontId="10" fillId="2" borderId="1" xfId="0" applyNumberFormat="1" applyFont="1" applyFill="1" applyBorder="1" applyAlignment="1">
      <alignment horizontal="right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left" vertical="center" wrapText="1"/>
    </xf>
    <xf numFmtId="4" fontId="9" fillId="4" borderId="1" xfId="0" applyNumberFormat="1" applyFont="1" applyFill="1" applyBorder="1" applyAlignment="1">
      <alignment horizontal="right" vertical="center" wrapText="1"/>
    </xf>
    <xf numFmtId="4" fontId="9" fillId="3" borderId="1" xfId="0" applyNumberFormat="1" applyFont="1" applyFill="1" applyBorder="1" applyAlignment="1">
      <alignment horizontal="right" vertical="center" wrapText="1"/>
    </xf>
    <xf numFmtId="0" fontId="9" fillId="5" borderId="1" xfId="0" applyFont="1" applyFill="1" applyBorder="1" applyAlignment="1">
      <alignment horizontal="center" vertical="center" wrapText="1"/>
    </xf>
    <xf numFmtId="4" fontId="6" fillId="0" borderId="0" xfId="0" applyNumberFormat="1" applyFont="1"/>
    <xf numFmtId="0" fontId="11" fillId="0" borderId="0" xfId="0" applyFont="1" applyAlignment="1">
      <alignment horizontal="left" vertical="center" wrapText="1" indent="1"/>
    </xf>
    <xf numFmtId="4" fontId="10" fillId="0" borderId="1" xfId="0" applyNumberFormat="1" applyFont="1" applyBorder="1" applyAlignment="1">
      <alignment horizontal="right" vertical="center" wrapText="1"/>
    </xf>
    <xf numFmtId="0" fontId="13" fillId="7" borderId="1" xfId="0" applyFont="1" applyFill="1" applyBorder="1" applyAlignment="1">
      <alignment horizontal="center" vertical="center" wrapText="1"/>
    </xf>
    <xf numFmtId="0" fontId="13" fillId="7" borderId="1" xfId="0" applyFont="1" applyFill="1" applyBorder="1" applyAlignment="1">
      <alignment horizontal="left" vertical="center" wrapText="1"/>
    </xf>
    <xf numFmtId="0" fontId="8" fillId="0" borderId="0" xfId="3" applyFont="1"/>
    <xf numFmtId="0" fontId="8" fillId="0" borderId="3" xfId="3" applyFont="1" applyBorder="1"/>
    <xf numFmtId="164" fontId="8" fillId="0" borderId="3" xfId="3" applyNumberFormat="1" applyFont="1" applyBorder="1"/>
    <xf numFmtId="0" fontId="8" fillId="0" borderId="3" xfId="3" applyFont="1" applyBorder="1" applyAlignment="1">
      <alignment horizontal="right"/>
    </xf>
    <xf numFmtId="164" fontId="8" fillId="0" borderId="3" xfId="4" applyNumberFormat="1" applyFont="1" applyBorder="1"/>
    <xf numFmtId="0" fontId="12" fillId="0" borderId="3" xfId="3" applyFont="1" applyBorder="1"/>
    <xf numFmtId="164" fontId="12" fillId="0" borderId="3" xfId="3" applyNumberFormat="1" applyFont="1" applyBorder="1"/>
    <xf numFmtId="0" fontId="12" fillId="0" borderId="0" xfId="3" applyFont="1"/>
    <xf numFmtId="0" fontId="14" fillId="0" borderId="0" xfId="0" applyFont="1"/>
    <xf numFmtId="0" fontId="0" fillId="0" borderId="3" xfId="0" applyBorder="1"/>
    <xf numFmtId="164" fontId="0" fillId="0" borderId="3" xfId="2" applyNumberFormat="1" applyFont="1" applyBorder="1"/>
    <xf numFmtId="0" fontId="14" fillId="0" borderId="3" xfId="0" applyFont="1" applyBorder="1"/>
    <xf numFmtId="164" fontId="14" fillId="0" borderId="3" xfId="2" applyNumberFormat="1" applyFont="1" applyBorder="1"/>
    <xf numFmtId="0" fontId="0" fillId="8" borderId="3" xfId="0" applyFill="1" applyBorder="1"/>
    <xf numFmtId="0" fontId="14" fillId="8" borderId="3" xfId="0" applyFont="1" applyFill="1" applyBorder="1"/>
    <xf numFmtId="0" fontId="0" fillId="0" borderId="0" xfId="0" quotePrefix="1"/>
    <xf numFmtId="165" fontId="0" fillId="0" borderId="3" xfId="0" applyNumberFormat="1" applyBorder="1"/>
    <xf numFmtId="0" fontId="0" fillId="0" borderId="4" xfId="0" applyBorder="1"/>
    <xf numFmtId="0" fontId="0" fillId="0" borderId="5" xfId="0" applyBorder="1"/>
    <xf numFmtId="165" fontId="0" fillId="0" borderId="5" xfId="0" applyNumberFormat="1" applyBorder="1"/>
    <xf numFmtId="165" fontId="14" fillId="0" borderId="3" xfId="0" applyNumberFormat="1" applyFont="1" applyBorder="1"/>
    <xf numFmtId="165" fontId="15" fillId="0" borderId="3" xfId="0" applyNumberFormat="1" applyFont="1" applyBorder="1"/>
    <xf numFmtId="165" fontId="16" fillId="0" borderId="3" xfId="0" applyNumberFormat="1" applyFont="1" applyBorder="1"/>
    <xf numFmtId="165" fontId="15" fillId="0" borderId="4" xfId="0" applyNumberFormat="1" applyFont="1" applyBorder="1"/>
    <xf numFmtId="0" fontId="0" fillId="0" borderId="0" xfId="0" applyAlignment="1">
      <alignment horizontal="right"/>
    </xf>
    <xf numFmtId="165" fontId="0" fillId="0" borderId="0" xfId="0" applyNumberFormat="1"/>
    <xf numFmtId="164" fontId="0" fillId="5" borderId="3" xfId="2" applyNumberFormat="1" applyFont="1" applyFill="1" applyBorder="1"/>
    <xf numFmtId="164" fontId="14" fillId="5" borderId="3" xfId="2" applyNumberFormat="1" applyFont="1" applyFill="1" applyBorder="1"/>
    <xf numFmtId="165" fontId="0" fillId="5" borderId="3" xfId="0" applyNumberFormat="1" applyFill="1" applyBorder="1"/>
    <xf numFmtId="165" fontId="14" fillId="5" borderId="3" xfId="0" applyNumberFormat="1" applyFont="1" applyFill="1" applyBorder="1"/>
    <xf numFmtId="0" fontId="17" fillId="0" borderId="0" xfId="0" applyFont="1"/>
    <xf numFmtId="4" fontId="4" fillId="0" borderId="0" xfId="0" applyNumberFormat="1" applyFont="1"/>
    <xf numFmtId="0" fontId="13" fillId="7" borderId="6" xfId="0" applyFont="1" applyFill="1" applyBorder="1" applyAlignment="1">
      <alignment horizontal="center" vertical="center" wrapText="1"/>
    </xf>
    <xf numFmtId="0" fontId="13" fillId="7" borderId="7" xfId="0" applyFont="1" applyFill="1" applyBorder="1" applyAlignment="1">
      <alignment horizontal="center" vertical="center" wrapText="1"/>
    </xf>
    <xf numFmtId="0" fontId="13" fillId="7" borderId="7" xfId="0" applyFont="1" applyFill="1" applyBorder="1" applyAlignment="1">
      <alignment horizontal="left" vertical="center" wrapText="1"/>
    </xf>
    <xf numFmtId="0" fontId="13" fillId="7" borderId="9" xfId="0" applyFont="1" applyFill="1" applyBorder="1" applyAlignment="1">
      <alignment horizontal="center" vertical="center" wrapText="1"/>
    </xf>
    <xf numFmtId="0" fontId="13" fillId="7" borderId="11" xfId="0" applyFont="1" applyFill="1" applyBorder="1" applyAlignment="1">
      <alignment horizontal="center" vertical="center" wrapText="1"/>
    </xf>
    <xf numFmtId="0" fontId="13" fillId="7" borderId="12" xfId="0" applyFont="1" applyFill="1" applyBorder="1" applyAlignment="1">
      <alignment horizontal="center" vertical="center" wrapText="1"/>
    </xf>
    <xf numFmtId="0" fontId="13" fillId="7" borderId="12" xfId="0" applyFont="1" applyFill="1" applyBorder="1" applyAlignment="1">
      <alignment horizontal="left" vertical="center" wrapText="1"/>
    </xf>
    <xf numFmtId="0" fontId="18" fillId="0" borderId="0" xfId="0" applyFont="1" applyAlignment="1">
      <alignment horizontal="center"/>
    </xf>
    <xf numFmtId="0" fontId="10" fillId="0" borderId="13" xfId="0" applyFont="1" applyBorder="1" applyAlignment="1">
      <alignment horizontal="center" vertical="center" wrapText="1"/>
    </xf>
    <xf numFmtId="0" fontId="10" fillId="6" borderId="13" xfId="0" applyFont="1" applyFill="1" applyBorder="1" applyAlignment="1">
      <alignment horizontal="center" vertical="center" wrapText="1"/>
    </xf>
    <xf numFmtId="0" fontId="9" fillId="5" borderId="17" xfId="0" applyFont="1" applyFill="1" applyBorder="1" applyAlignment="1">
      <alignment horizontal="center" vertical="center" wrapText="1"/>
    </xf>
    <xf numFmtId="0" fontId="9" fillId="5" borderId="18" xfId="0" applyFont="1" applyFill="1" applyBorder="1" applyAlignment="1">
      <alignment horizontal="center" vertical="center" wrapText="1"/>
    </xf>
    <xf numFmtId="0" fontId="9" fillId="5" borderId="19" xfId="0" applyFont="1" applyFill="1" applyBorder="1" applyAlignment="1">
      <alignment horizontal="center" vertical="center" wrapText="1"/>
    </xf>
    <xf numFmtId="0" fontId="10" fillId="0" borderId="14" xfId="0" applyFont="1" applyBorder="1" applyAlignment="1">
      <alignment horizontal="left" vertical="center" wrapText="1"/>
    </xf>
    <xf numFmtId="0" fontId="10" fillId="6" borderId="14" xfId="0" applyFont="1" applyFill="1" applyBorder="1" applyAlignment="1">
      <alignment horizontal="left" vertical="center" wrapText="1"/>
    </xf>
    <xf numFmtId="0" fontId="10" fillId="6" borderId="15" xfId="0" applyFont="1" applyFill="1" applyBorder="1" applyAlignment="1">
      <alignment horizontal="center" vertical="center" wrapText="1"/>
    </xf>
    <xf numFmtId="0" fontId="10" fillId="6" borderId="16" xfId="0" applyFont="1" applyFill="1" applyBorder="1" applyAlignment="1">
      <alignment horizontal="left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left" vertical="center" wrapText="1"/>
    </xf>
    <xf numFmtId="0" fontId="9" fillId="5" borderId="7" xfId="0" applyFont="1" applyFill="1" applyBorder="1" applyAlignment="1">
      <alignment horizontal="center" vertical="center" wrapText="1"/>
    </xf>
    <xf numFmtId="0" fontId="10" fillId="6" borderId="25" xfId="0" applyFont="1" applyFill="1" applyBorder="1" applyAlignment="1">
      <alignment horizontal="center" vertical="center" wrapText="1"/>
    </xf>
    <xf numFmtId="0" fontId="10" fillId="6" borderId="26" xfId="0" applyFont="1" applyFill="1" applyBorder="1" applyAlignment="1">
      <alignment horizontal="left" vertical="center" wrapText="1"/>
    </xf>
    <xf numFmtId="4" fontId="9" fillId="3" borderId="1" xfId="0" applyNumberFormat="1" applyFont="1" applyFill="1" applyBorder="1" applyAlignment="1">
      <alignment horizontal="left" vertical="center" wrapText="1"/>
    </xf>
    <xf numFmtId="0" fontId="9" fillId="5" borderId="31" xfId="0" applyFont="1" applyFill="1" applyBorder="1" applyAlignment="1">
      <alignment horizontal="center" vertical="center" wrapText="1"/>
    </xf>
    <xf numFmtId="0" fontId="10" fillId="0" borderId="32" xfId="0" applyFont="1" applyBorder="1" applyAlignment="1">
      <alignment horizontal="center" vertical="center" wrapText="1"/>
    </xf>
    <xf numFmtId="0" fontId="10" fillId="0" borderId="33" xfId="0" applyFont="1" applyBorder="1" applyAlignment="1">
      <alignment horizontal="center" vertical="center" wrapText="1"/>
    </xf>
    <xf numFmtId="0" fontId="9" fillId="0" borderId="33" xfId="0" applyFont="1" applyBorder="1" applyAlignment="1">
      <alignment horizontal="center" vertical="center" wrapText="1"/>
    </xf>
    <xf numFmtId="0" fontId="10" fillId="6" borderId="34" xfId="0" applyFont="1" applyFill="1" applyBorder="1" applyAlignment="1">
      <alignment horizontal="center" vertical="center" wrapText="1"/>
    </xf>
    <xf numFmtId="0" fontId="10" fillId="6" borderId="33" xfId="0" applyFont="1" applyFill="1" applyBorder="1" applyAlignment="1">
      <alignment horizontal="center" vertical="center" wrapText="1"/>
    </xf>
    <xf numFmtId="0" fontId="10" fillId="6" borderId="35" xfId="0" applyFont="1" applyFill="1" applyBorder="1" applyAlignment="1">
      <alignment horizontal="center" vertical="center" wrapText="1"/>
    </xf>
    <xf numFmtId="0" fontId="10" fillId="6" borderId="29" xfId="0" applyFont="1" applyFill="1" applyBorder="1" applyAlignment="1">
      <alignment horizontal="center" vertical="center" wrapText="1"/>
    </xf>
    <xf numFmtId="0" fontId="10" fillId="6" borderId="36" xfId="0" applyFont="1" applyFill="1" applyBorder="1" applyAlignment="1">
      <alignment horizontal="left" vertical="center" wrapText="1"/>
    </xf>
    <xf numFmtId="3" fontId="10" fillId="0" borderId="24" xfId="0" applyNumberFormat="1" applyFont="1" applyBorder="1" applyAlignment="1">
      <alignment horizontal="right" vertical="center" wrapText="1"/>
    </xf>
    <xf numFmtId="3" fontId="10" fillId="0" borderId="21" xfId="0" applyNumberFormat="1" applyFont="1" applyBorder="1" applyAlignment="1">
      <alignment horizontal="right" vertical="center" wrapText="1"/>
    </xf>
    <xf numFmtId="3" fontId="10" fillId="6" borderId="20" xfId="0" applyNumberFormat="1" applyFont="1" applyFill="1" applyBorder="1" applyAlignment="1">
      <alignment horizontal="right" vertical="center" wrapText="1"/>
    </xf>
    <xf numFmtId="3" fontId="10" fillId="6" borderId="21" xfId="0" applyNumberFormat="1" applyFont="1" applyFill="1" applyBorder="1" applyAlignment="1">
      <alignment horizontal="right" vertical="center" wrapText="1"/>
    </xf>
    <xf numFmtId="3" fontId="10" fillId="6" borderId="27" xfId="0" applyNumberFormat="1" applyFont="1" applyFill="1" applyBorder="1" applyAlignment="1">
      <alignment horizontal="right" vertical="center" wrapText="1"/>
    </xf>
    <xf numFmtId="3" fontId="10" fillId="6" borderId="30" xfId="0" applyNumberFormat="1" applyFont="1" applyFill="1" applyBorder="1" applyAlignment="1">
      <alignment horizontal="right" vertical="center" wrapText="1"/>
    </xf>
    <xf numFmtId="3" fontId="6" fillId="0" borderId="0" xfId="0" applyNumberFormat="1" applyFont="1"/>
    <xf numFmtId="3" fontId="13" fillId="7" borderId="7" xfId="0" applyNumberFormat="1" applyFont="1" applyFill="1" applyBorder="1" applyAlignment="1">
      <alignment horizontal="right" vertical="center" wrapText="1"/>
    </xf>
    <xf numFmtId="3" fontId="13" fillId="7" borderId="1" xfId="0" applyNumberFormat="1" applyFont="1" applyFill="1" applyBorder="1" applyAlignment="1">
      <alignment horizontal="right" vertical="center" wrapText="1"/>
    </xf>
    <xf numFmtId="3" fontId="13" fillId="7" borderId="12" xfId="0" applyNumberFormat="1" applyFont="1" applyFill="1" applyBorder="1" applyAlignment="1">
      <alignment horizontal="right" vertical="center" wrapText="1"/>
    </xf>
    <xf numFmtId="3" fontId="10" fillId="0" borderId="23" xfId="0" applyNumberFormat="1" applyFont="1" applyBorder="1" applyAlignment="1">
      <alignment horizontal="right" vertical="center" wrapText="1"/>
    </xf>
    <xf numFmtId="3" fontId="10" fillId="0" borderId="14" xfId="0" applyNumberFormat="1" applyFont="1" applyBorder="1" applyAlignment="1">
      <alignment horizontal="right" vertical="center" wrapText="1"/>
    </xf>
    <xf numFmtId="3" fontId="10" fillId="6" borderId="16" xfId="0" applyNumberFormat="1" applyFont="1" applyFill="1" applyBorder="1" applyAlignment="1">
      <alignment horizontal="right" vertical="center" wrapText="1"/>
    </xf>
    <xf numFmtId="3" fontId="10" fillId="6" borderId="14" xfId="0" applyNumberFormat="1" applyFont="1" applyFill="1" applyBorder="1" applyAlignment="1">
      <alignment horizontal="right" vertical="center" wrapText="1"/>
    </xf>
    <xf numFmtId="3" fontId="10" fillId="6" borderId="26" xfId="0" applyNumberFormat="1" applyFont="1" applyFill="1" applyBorder="1" applyAlignment="1">
      <alignment horizontal="right" vertical="center" wrapText="1"/>
    </xf>
    <xf numFmtId="3" fontId="13" fillId="7" borderId="8" xfId="0" applyNumberFormat="1" applyFont="1" applyFill="1" applyBorder="1" applyAlignment="1">
      <alignment horizontal="right" vertical="center" wrapText="1"/>
    </xf>
    <xf numFmtId="3" fontId="13" fillId="7" borderId="10" xfId="0" applyNumberFormat="1" applyFont="1" applyFill="1" applyBorder="1" applyAlignment="1">
      <alignment horizontal="right" vertical="center" wrapText="1"/>
    </xf>
    <xf numFmtId="4" fontId="4" fillId="2" borderId="1" xfId="0" applyNumberFormat="1" applyFont="1" applyFill="1" applyBorder="1" applyAlignment="1">
      <alignment horizontal="right" vertical="center" wrapText="1"/>
    </xf>
    <xf numFmtId="4" fontId="19" fillId="2" borderId="1" xfId="0" applyNumberFormat="1" applyFont="1" applyFill="1" applyBorder="1" applyAlignment="1">
      <alignment horizontal="right" vertical="center" wrapText="1"/>
    </xf>
    <xf numFmtId="10" fontId="9" fillId="3" borderId="1" xfId="0" applyNumberFormat="1" applyFont="1" applyFill="1" applyBorder="1" applyAlignment="1">
      <alignment horizontal="left" vertical="center" wrapText="1"/>
    </xf>
    <xf numFmtId="10" fontId="10" fillId="2" borderId="1" xfId="0" applyNumberFormat="1" applyFont="1" applyFill="1" applyBorder="1" applyAlignment="1">
      <alignment horizontal="right" vertical="center" wrapText="1"/>
    </xf>
    <xf numFmtId="10" fontId="9" fillId="4" borderId="1" xfId="0" applyNumberFormat="1" applyFont="1" applyFill="1" applyBorder="1" applyAlignment="1">
      <alignment horizontal="right" vertical="center" wrapText="1"/>
    </xf>
    <xf numFmtId="10" fontId="10" fillId="0" borderId="1" xfId="0" applyNumberFormat="1" applyFont="1" applyBorder="1" applyAlignment="1">
      <alignment horizontal="right" vertical="center" wrapText="1"/>
    </xf>
    <xf numFmtId="10" fontId="10" fillId="2" borderId="2" xfId="0" applyNumberFormat="1" applyFont="1" applyFill="1" applyBorder="1" applyAlignment="1">
      <alignment horizontal="right" vertical="center" wrapText="1"/>
    </xf>
    <xf numFmtId="10" fontId="9" fillId="3" borderId="1" xfId="0" applyNumberFormat="1" applyFont="1" applyFill="1" applyBorder="1" applyAlignment="1">
      <alignment horizontal="right" vertical="center" wrapText="1"/>
    </xf>
    <xf numFmtId="10" fontId="4" fillId="0" borderId="0" xfId="0" applyNumberFormat="1" applyFont="1"/>
    <xf numFmtId="10" fontId="17" fillId="0" borderId="0" xfId="0" applyNumberFormat="1" applyFont="1"/>
    <xf numFmtId="10" fontId="9" fillId="9" borderId="1" xfId="0" applyNumberFormat="1" applyFont="1" applyFill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right" vertical="center" wrapText="1"/>
    </xf>
    <xf numFmtId="4" fontId="17" fillId="4" borderId="1" xfId="0" applyNumberFormat="1" applyFont="1" applyFill="1" applyBorder="1" applyAlignment="1">
      <alignment horizontal="right" vertical="center" wrapText="1"/>
    </xf>
    <xf numFmtId="4" fontId="17" fillId="0" borderId="0" xfId="0" applyNumberFormat="1" applyFont="1"/>
    <xf numFmtId="0" fontId="19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4" fontId="22" fillId="2" borderId="1" xfId="0" applyNumberFormat="1" applyFont="1" applyFill="1" applyBorder="1" applyAlignment="1">
      <alignment horizontal="right" vertical="center" wrapText="1"/>
    </xf>
    <xf numFmtId="4" fontId="23" fillId="4" borderId="1" xfId="0" applyNumberFormat="1" applyFont="1" applyFill="1" applyBorder="1" applyAlignment="1">
      <alignment horizontal="right" vertical="center" wrapText="1"/>
    </xf>
    <xf numFmtId="4" fontId="23" fillId="3" borderId="1" xfId="0" applyNumberFormat="1" applyFont="1" applyFill="1" applyBorder="1" applyAlignment="1">
      <alignment horizontal="right" vertical="center" wrapText="1"/>
    </xf>
    <xf numFmtId="0" fontId="9" fillId="10" borderId="1" xfId="0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left" vertical="center" wrapText="1"/>
    </xf>
    <xf numFmtId="0" fontId="24" fillId="0" borderId="0" xfId="0" applyFont="1"/>
    <xf numFmtId="4" fontId="24" fillId="0" borderId="0" xfId="0" applyNumberFormat="1" applyFont="1"/>
    <xf numFmtId="0" fontId="17" fillId="5" borderId="1" xfId="0" applyFont="1" applyFill="1" applyBorder="1" applyAlignment="1">
      <alignment horizontal="center" vertical="center" wrapText="1"/>
    </xf>
    <xf numFmtId="10" fontId="10" fillId="2" borderId="1" xfId="1" applyNumberFormat="1" applyFont="1" applyFill="1" applyBorder="1" applyAlignment="1">
      <alignment horizontal="right" vertical="center" wrapText="1"/>
    </xf>
    <xf numFmtId="10" fontId="4" fillId="2" borderId="1" xfId="1" applyNumberFormat="1" applyFont="1" applyFill="1" applyBorder="1" applyAlignment="1">
      <alignment horizontal="right" vertical="center" wrapText="1"/>
    </xf>
    <xf numFmtId="10" fontId="17" fillId="4" borderId="1" xfId="1" applyNumberFormat="1" applyFont="1" applyFill="1" applyBorder="1" applyAlignment="1">
      <alignment horizontal="right" vertical="center" wrapText="1"/>
    </xf>
    <xf numFmtId="10" fontId="9" fillId="3" borderId="1" xfId="1" applyNumberFormat="1" applyFont="1" applyFill="1" applyBorder="1" applyAlignment="1">
      <alignment horizontal="right" vertical="center" wrapText="1"/>
    </xf>
    <xf numFmtId="0" fontId="10" fillId="0" borderId="1" xfId="0" applyFont="1" applyFill="1" applyBorder="1" applyAlignment="1">
      <alignment horizontal="center" vertical="center" wrapText="1"/>
    </xf>
    <xf numFmtId="10" fontId="10" fillId="0" borderId="1" xfId="0" applyNumberFormat="1" applyFont="1" applyFill="1" applyBorder="1" applyAlignment="1">
      <alignment horizontal="right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left" vertical="top" wrapText="1" shrinkToFit="1"/>
    </xf>
    <xf numFmtId="4" fontId="10" fillId="0" borderId="1" xfId="0" applyNumberFormat="1" applyFont="1" applyFill="1" applyBorder="1" applyAlignment="1">
      <alignment horizontal="right" vertical="center" wrapText="1"/>
    </xf>
    <xf numFmtId="4" fontId="4" fillId="0" borderId="1" xfId="0" applyNumberFormat="1" applyFont="1" applyFill="1" applyBorder="1" applyAlignment="1">
      <alignment horizontal="right" vertical="center" wrapText="1"/>
    </xf>
    <xf numFmtId="4" fontId="10" fillId="0" borderId="2" xfId="0" applyNumberFormat="1" applyFont="1" applyFill="1" applyBorder="1" applyAlignment="1">
      <alignment horizontal="right" vertical="center" wrapText="1"/>
    </xf>
    <xf numFmtId="9" fontId="0" fillId="0" borderId="0" xfId="6" applyFont="1" applyAlignment="1">
      <alignment horizontal="left"/>
    </xf>
    <xf numFmtId="9" fontId="14" fillId="0" borderId="0" xfId="6" applyFont="1" applyAlignment="1">
      <alignment horizontal="left"/>
    </xf>
    <xf numFmtId="165" fontId="14" fillId="0" borderId="0" xfId="0" applyNumberFormat="1" applyFont="1"/>
    <xf numFmtId="0" fontId="0" fillId="0" borderId="0" xfId="0" applyAlignment="1">
      <alignment horizontal="left" vertical="top" wrapText="1" shrinkToFit="1"/>
    </xf>
    <xf numFmtId="0" fontId="1" fillId="0" borderId="0" xfId="7"/>
    <xf numFmtId="0" fontId="7" fillId="0" borderId="0" xfId="7" applyFont="1"/>
    <xf numFmtId="165" fontId="1" fillId="0" borderId="37" xfId="7" applyNumberFormat="1" applyBorder="1"/>
    <xf numFmtId="165" fontId="1" fillId="0" borderId="0" xfId="7" applyNumberFormat="1"/>
    <xf numFmtId="0" fontId="1" fillId="0" borderId="38" xfId="7" applyBorder="1"/>
    <xf numFmtId="165" fontId="1" fillId="0" borderId="38" xfId="7" applyNumberFormat="1" applyBorder="1"/>
    <xf numFmtId="165" fontId="7" fillId="0" borderId="0" xfId="7" applyNumberFormat="1" applyFont="1"/>
    <xf numFmtId="0" fontId="14" fillId="8" borderId="3" xfId="0" applyFont="1" applyFill="1" applyBorder="1" applyAlignment="1">
      <alignment horizontal="right"/>
    </xf>
    <xf numFmtId="164" fontId="5" fillId="5" borderId="3" xfId="2" applyNumberFormat="1" applyFont="1" applyFill="1" applyBorder="1"/>
    <xf numFmtId="0" fontId="1" fillId="0" borderId="0" xfId="7"/>
    <xf numFmtId="165" fontId="1" fillId="0" borderId="0" xfId="7" applyNumberFormat="1"/>
    <xf numFmtId="0" fontId="1" fillId="0" borderId="38" xfId="7" applyBorder="1"/>
    <xf numFmtId="165" fontId="1" fillId="0" borderId="38" xfId="7" applyNumberFormat="1" applyBorder="1"/>
    <xf numFmtId="0" fontId="7" fillId="0" borderId="0" xfId="7" applyFont="1"/>
    <xf numFmtId="165" fontId="7" fillId="0" borderId="0" xfId="7" applyNumberFormat="1" applyFont="1"/>
    <xf numFmtId="164" fontId="0" fillId="5" borderId="39" xfId="2" applyNumberFormat="1" applyFont="1" applyFill="1" applyBorder="1"/>
    <xf numFmtId="164" fontId="26" fillId="0" borderId="3" xfId="2" applyNumberFormat="1" applyFont="1" applyFill="1" applyBorder="1"/>
    <xf numFmtId="165" fontId="5" fillId="0" borderId="0" xfId="7" applyNumberFormat="1" applyFont="1"/>
    <xf numFmtId="0" fontId="27" fillId="0" borderId="0" xfId="0" applyFont="1"/>
    <xf numFmtId="0" fontId="0" fillId="9" borderId="0" xfId="0" applyFill="1"/>
    <xf numFmtId="0" fontId="0" fillId="9" borderId="0" xfId="0" applyFill="1" applyAlignment="1">
      <alignment horizontal="right"/>
    </xf>
    <xf numFmtId="0" fontId="14" fillId="9" borderId="0" xfId="0" applyFont="1" applyFill="1"/>
    <xf numFmtId="0" fontId="14" fillId="9" borderId="0" xfId="0" applyFont="1" applyFill="1" applyAlignment="1">
      <alignment horizontal="right"/>
    </xf>
    <xf numFmtId="0" fontId="26" fillId="9" borderId="0" xfId="0" applyFont="1" applyFill="1"/>
    <xf numFmtId="0" fontId="28" fillId="0" borderId="0" xfId="7" applyFont="1" applyAlignment="1">
      <alignment horizontal="center"/>
    </xf>
    <xf numFmtId="0" fontId="29" fillId="0" borderId="0" xfId="7" applyFont="1"/>
    <xf numFmtId="49" fontId="30" fillId="0" borderId="0" xfId="7" quotePrefix="1" applyNumberFormat="1" applyFont="1"/>
    <xf numFmtId="0" fontId="32" fillId="0" borderId="0" xfId="7" applyFont="1" applyAlignment="1">
      <alignment horizontal="center"/>
    </xf>
    <xf numFmtId="0" fontId="33" fillId="0" borderId="0" xfId="7" applyFont="1" applyAlignment="1">
      <alignment horizontal="center"/>
    </xf>
    <xf numFmtId="0" fontId="33" fillId="0" borderId="0" xfId="7" applyFont="1"/>
    <xf numFmtId="0" fontId="29" fillId="0" borderId="0" xfId="7" applyFont="1" applyAlignment="1">
      <alignment horizontal="center"/>
    </xf>
    <xf numFmtId="0" fontId="34" fillId="0" borderId="0" xfId="7" applyFont="1" applyAlignment="1">
      <alignment horizontal="center"/>
    </xf>
    <xf numFmtId="0" fontId="35" fillId="11" borderId="40" xfId="7" applyFont="1" applyFill="1" applyBorder="1" applyAlignment="1">
      <alignment horizontal="center" vertical="center" wrapText="1"/>
    </xf>
    <xf numFmtId="0" fontId="35" fillId="11" borderId="41" xfId="7" applyFont="1" applyFill="1" applyBorder="1" applyAlignment="1">
      <alignment horizontal="center" vertical="center" wrapText="1"/>
    </xf>
    <xf numFmtId="0" fontId="35" fillId="11" borderId="42" xfId="7" applyFont="1" applyFill="1" applyBorder="1" applyAlignment="1">
      <alignment horizontal="center" vertical="center" wrapText="1"/>
    </xf>
    <xf numFmtId="0" fontId="35" fillId="11" borderId="43" xfId="7" applyFont="1" applyFill="1" applyBorder="1" applyAlignment="1">
      <alignment horizontal="center" vertical="center" wrapText="1"/>
    </xf>
    <xf numFmtId="0" fontId="35" fillId="11" borderId="44" xfId="7" applyFont="1" applyFill="1" applyBorder="1" applyAlignment="1">
      <alignment horizontal="center" vertical="center" wrapText="1"/>
    </xf>
    <xf numFmtId="0" fontId="36" fillId="0" borderId="0" xfId="7" applyFont="1" applyAlignment="1">
      <alignment horizontal="center"/>
    </xf>
    <xf numFmtId="49" fontId="35" fillId="12" borderId="31" xfId="7" applyNumberFormat="1" applyFont="1" applyFill="1" applyBorder="1"/>
    <xf numFmtId="3" fontId="35" fillId="12" borderId="43" xfId="7" applyNumberFormat="1" applyFont="1" applyFill="1" applyBorder="1"/>
    <xf numFmtId="3" fontId="35" fillId="12" borderId="28" xfId="7" applyNumberFormat="1" applyFont="1" applyFill="1" applyBorder="1"/>
    <xf numFmtId="0" fontId="35" fillId="12" borderId="43" xfId="7" applyFont="1" applyFill="1" applyBorder="1"/>
    <xf numFmtId="3" fontId="35" fillId="12" borderId="45" xfId="7" applyNumberFormat="1" applyFont="1" applyFill="1" applyBorder="1"/>
    <xf numFmtId="49" fontId="37" fillId="0" borderId="0" xfId="7" applyNumberFormat="1" applyFont="1" applyAlignment="1">
      <alignment horizontal="center"/>
    </xf>
    <xf numFmtId="49" fontId="35" fillId="12" borderId="46" xfId="7" applyNumberFormat="1" applyFont="1" applyFill="1" applyBorder="1"/>
    <xf numFmtId="3" fontId="35" fillId="12" borderId="47" xfId="7" applyNumberFormat="1" applyFont="1" applyFill="1" applyBorder="1"/>
    <xf numFmtId="0" fontId="35" fillId="12" borderId="31" xfId="7" applyFont="1" applyFill="1" applyBorder="1"/>
    <xf numFmtId="0" fontId="38" fillId="0" borderId="47" xfId="7" applyFont="1" applyBorder="1"/>
    <xf numFmtId="3" fontId="38" fillId="13" borderId="47" xfId="7" applyNumberFormat="1" applyFont="1" applyFill="1" applyBorder="1"/>
    <xf numFmtId="3" fontId="38" fillId="13" borderId="48" xfId="7" applyNumberFormat="1" applyFont="1" applyFill="1" applyBorder="1"/>
    <xf numFmtId="3" fontId="38" fillId="0" borderId="47" xfId="7" applyNumberFormat="1" applyFont="1" applyBorder="1"/>
    <xf numFmtId="0" fontId="38" fillId="0" borderId="49" xfId="7" applyFont="1" applyBorder="1"/>
    <xf numFmtId="3" fontId="38" fillId="13" borderId="49" xfId="7" applyNumberFormat="1" applyFont="1" applyFill="1" applyBorder="1"/>
    <xf numFmtId="3" fontId="38" fillId="13" borderId="50" xfId="7" applyNumberFormat="1" applyFont="1" applyFill="1" applyBorder="1"/>
    <xf numFmtId="49" fontId="37" fillId="0" borderId="0" xfId="7" quotePrefix="1" applyNumberFormat="1" applyFont="1" applyAlignment="1">
      <alignment horizontal="center"/>
    </xf>
    <xf numFmtId="49" fontId="39" fillId="0" borderId="46" xfId="7" applyNumberFormat="1" applyFont="1" applyBorder="1"/>
    <xf numFmtId="3" fontId="38" fillId="0" borderId="42" xfId="7" applyNumberFormat="1" applyFont="1" applyBorder="1"/>
    <xf numFmtId="0" fontId="35" fillId="12" borderId="51" xfId="7" applyFont="1" applyFill="1" applyBorder="1"/>
    <xf numFmtId="0" fontId="29" fillId="12" borderId="0" xfId="7" applyFont="1" applyFill="1"/>
    <xf numFmtId="49" fontId="39" fillId="0" borderId="52" xfId="7" applyNumberFormat="1" applyFont="1" applyBorder="1"/>
    <xf numFmtId="3" fontId="38" fillId="0" borderId="53" xfId="7" applyNumberFormat="1" applyFont="1" applyBorder="1"/>
    <xf numFmtId="3" fontId="38" fillId="0" borderId="54" xfId="7" applyNumberFormat="1" applyFont="1" applyBorder="1"/>
    <xf numFmtId="0" fontId="35" fillId="11" borderId="43" xfId="7" applyFont="1" applyFill="1" applyBorder="1"/>
    <xf numFmtId="3" fontId="35" fillId="11" borderId="43" xfId="7" applyNumberFormat="1" applyFont="1" applyFill="1" applyBorder="1"/>
    <xf numFmtId="3" fontId="38" fillId="0" borderId="55" xfId="7" applyNumberFormat="1" applyFont="1" applyBorder="1"/>
    <xf numFmtId="3" fontId="29" fillId="0" borderId="0" xfId="7" applyNumberFormat="1" applyFont="1"/>
    <xf numFmtId="0" fontId="40" fillId="0" borderId="0" xfId="7" applyFont="1"/>
    <xf numFmtId="3" fontId="36" fillId="0" borderId="0" xfId="7" applyNumberFormat="1" applyFont="1" applyAlignment="1">
      <alignment horizontal="center"/>
    </xf>
    <xf numFmtId="49" fontId="41" fillId="0" borderId="46" xfId="7" applyNumberFormat="1" applyFont="1" applyBorder="1"/>
    <xf numFmtId="49" fontId="42" fillId="0" borderId="0" xfId="7" applyNumberFormat="1" applyFont="1" applyAlignment="1">
      <alignment horizontal="left"/>
    </xf>
    <xf numFmtId="3" fontId="42" fillId="0" borderId="0" xfId="7" applyNumberFormat="1" applyFont="1"/>
    <xf numFmtId="3" fontId="35" fillId="0" borderId="0" xfId="7" applyNumberFormat="1" applyFont="1"/>
    <xf numFmtId="49" fontId="41" fillId="0" borderId="52" xfId="7" applyNumberFormat="1" applyFont="1" applyBorder="1"/>
    <xf numFmtId="49" fontId="43" fillId="14" borderId="46" xfId="7" applyNumberFormat="1" applyFont="1" applyFill="1" applyBorder="1"/>
    <xf numFmtId="3" fontId="38" fillId="14" borderId="47" xfId="7" applyNumberFormat="1" applyFont="1" applyFill="1" applyBorder="1"/>
    <xf numFmtId="3" fontId="44" fillId="14" borderId="47" xfId="7" applyNumberFormat="1" applyFont="1" applyFill="1" applyBorder="1"/>
    <xf numFmtId="49" fontId="43" fillId="14" borderId="52" xfId="7" applyNumberFormat="1" applyFont="1" applyFill="1" applyBorder="1"/>
    <xf numFmtId="3" fontId="38" fillId="14" borderId="53" xfId="7" applyNumberFormat="1" applyFont="1" applyFill="1" applyBorder="1"/>
    <xf numFmtId="3" fontId="44" fillId="14" borderId="53" xfId="7" applyNumberFormat="1" applyFont="1" applyFill="1" applyBorder="1"/>
    <xf numFmtId="49" fontId="43" fillId="14" borderId="56" xfId="7" applyNumberFormat="1" applyFont="1" applyFill="1" applyBorder="1"/>
    <xf numFmtId="3" fontId="38" fillId="14" borderId="49" xfId="7" applyNumberFormat="1" applyFont="1" applyFill="1" applyBorder="1"/>
    <xf numFmtId="3" fontId="44" fillId="14" borderId="49" xfId="7" applyNumberFormat="1" applyFont="1" applyFill="1" applyBorder="1"/>
    <xf numFmtId="3" fontId="38" fillId="0" borderId="57" xfId="7" applyNumberFormat="1" applyFont="1" applyBorder="1"/>
    <xf numFmtId="3" fontId="45" fillId="12" borderId="43" xfId="7" applyNumberFormat="1" applyFont="1" applyFill="1" applyBorder="1"/>
    <xf numFmtId="3" fontId="45" fillId="12" borderId="28" xfId="7" applyNumberFormat="1" applyFont="1" applyFill="1" applyBorder="1"/>
    <xf numFmtId="49" fontId="35" fillId="11" borderId="58" xfId="7" applyNumberFormat="1" applyFont="1" applyFill="1" applyBorder="1" applyAlignment="1">
      <alignment horizontal="center" vertical="center"/>
    </xf>
    <xf numFmtId="3" fontId="35" fillId="11" borderId="59" xfId="7" applyNumberFormat="1" applyFont="1" applyFill="1" applyBorder="1" applyAlignment="1">
      <alignment vertical="center"/>
    </xf>
    <xf numFmtId="0" fontId="29" fillId="0" borderId="0" xfId="7" applyFont="1" applyAlignment="1">
      <alignment horizontal="left"/>
    </xf>
    <xf numFmtId="166" fontId="46" fillId="0" borderId="0" xfId="7" applyNumberFormat="1" applyFont="1"/>
    <xf numFmtId="166" fontId="46" fillId="0" borderId="0" xfId="7" applyNumberFormat="1" applyFont="1" applyAlignment="1">
      <alignment horizontal="center"/>
    </xf>
    <xf numFmtId="166" fontId="47" fillId="0" borderId="0" xfId="7" applyNumberFormat="1" applyFont="1"/>
    <xf numFmtId="166" fontId="48" fillId="11" borderId="40" xfId="7" applyNumberFormat="1" applyFont="1" applyFill="1" applyBorder="1" applyAlignment="1">
      <alignment horizontal="center" vertical="center" wrapText="1"/>
    </xf>
    <xf numFmtId="166" fontId="35" fillId="11" borderId="41" xfId="7" applyNumberFormat="1" applyFont="1" applyFill="1" applyBorder="1" applyAlignment="1">
      <alignment horizontal="center" vertical="center" wrapText="1"/>
    </xf>
    <xf numFmtId="166" fontId="35" fillId="11" borderId="60" xfId="7" applyNumberFormat="1" applyFont="1" applyFill="1" applyBorder="1" applyAlignment="1">
      <alignment horizontal="center" vertical="center" wrapText="1"/>
    </xf>
    <xf numFmtId="166" fontId="48" fillId="11" borderId="31" xfId="7" applyNumberFormat="1" applyFont="1" applyFill="1" applyBorder="1" applyAlignment="1">
      <alignment horizontal="center" vertical="center" wrapText="1"/>
    </xf>
    <xf numFmtId="166" fontId="35" fillId="11" borderId="43" xfId="7" applyNumberFormat="1" applyFont="1" applyFill="1" applyBorder="1" applyAlignment="1">
      <alignment horizontal="center" vertical="center" wrapText="1"/>
    </xf>
    <xf numFmtId="166" fontId="35" fillId="11" borderId="45" xfId="7" applyNumberFormat="1" applyFont="1" applyFill="1" applyBorder="1" applyAlignment="1">
      <alignment horizontal="center" vertical="center" wrapText="1"/>
    </xf>
    <xf numFmtId="166" fontId="46" fillId="0" borderId="61" xfId="7" applyNumberFormat="1" applyFont="1" applyBorder="1"/>
    <xf numFmtId="166" fontId="46" fillId="0" borderId="62" xfId="7" applyNumberFormat="1" applyFont="1" applyBorder="1"/>
    <xf numFmtId="166" fontId="46" fillId="13" borderId="63" xfId="7" applyNumberFormat="1" applyFont="1" applyFill="1" applyBorder="1"/>
    <xf numFmtId="166" fontId="46" fillId="0" borderId="64" xfId="7" quotePrefix="1" applyNumberFormat="1" applyFont="1" applyBorder="1"/>
    <xf numFmtId="166" fontId="46" fillId="0" borderId="65" xfId="7" applyNumberFormat="1" applyFont="1" applyBorder="1"/>
    <xf numFmtId="166" fontId="46" fillId="13" borderId="66" xfId="7" applyNumberFormat="1" applyFont="1" applyFill="1" applyBorder="1"/>
    <xf numFmtId="166" fontId="46" fillId="0" borderId="67" xfId="7" applyNumberFormat="1" applyFont="1" applyBorder="1"/>
    <xf numFmtId="166" fontId="46" fillId="0" borderId="68" xfId="7" applyNumberFormat="1" applyFont="1" applyBorder="1"/>
    <xf numFmtId="166" fontId="46" fillId="13" borderId="69" xfId="7" applyNumberFormat="1" applyFont="1" applyFill="1" applyBorder="1"/>
    <xf numFmtId="166" fontId="46" fillId="0" borderId="67" xfId="7" applyNumberFormat="1" applyFont="1" applyBorder="1" applyAlignment="1">
      <alignment horizontal="left"/>
    </xf>
    <xf numFmtId="166" fontId="46" fillId="0" borderId="70" xfId="7" applyNumberFormat="1" applyFont="1" applyBorder="1"/>
    <xf numFmtId="166" fontId="33" fillId="11" borderId="31" xfId="7" applyNumberFormat="1" applyFont="1" applyFill="1" applyBorder="1" applyAlignment="1">
      <alignment horizontal="center"/>
    </xf>
    <xf numFmtId="166" fontId="33" fillId="11" borderId="43" xfId="7" applyNumberFormat="1" applyFont="1" applyFill="1" applyBorder="1"/>
    <xf numFmtId="166" fontId="33" fillId="11" borderId="28" xfId="7" applyNumberFormat="1" applyFont="1" applyFill="1" applyBorder="1"/>
    <xf numFmtId="166" fontId="46" fillId="0" borderId="71" xfId="7" applyNumberFormat="1" applyFont="1" applyBorder="1"/>
    <xf numFmtId="166" fontId="46" fillId="0" borderId="72" xfId="7" applyNumberFormat="1" applyFont="1" applyBorder="1"/>
    <xf numFmtId="166" fontId="46" fillId="13" borderId="73" xfId="7" applyNumberFormat="1" applyFont="1" applyFill="1" applyBorder="1"/>
    <xf numFmtId="166" fontId="33" fillId="0" borderId="0" xfId="7" applyNumberFormat="1" applyFont="1"/>
    <xf numFmtId="166" fontId="33" fillId="15" borderId="31" xfId="7" applyNumberFormat="1" applyFont="1" applyFill="1" applyBorder="1" applyAlignment="1">
      <alignment horizontal="center" vertical="center"/>
    </xf>
    <xf numFmtId="166" fontId="33" fillId="15" borderId="43" xfId="7" applyNumberFormat="1" applyFont="1" applyFill="1" applyBorder="1" applyAlignment="1">
      <alignment vertical="center"/>
    </xf>
    <xf numFmtId="166" fontId="33" fillId="15" borderId="45" xfId="7" applyNumberFormat="1" applyFont="1" applyFill="1" applyBorder="1" applyAlignment="1">
      <alignment vertical="center"/>
    </xf>
    <xf numFmtId="166" fontId="46" fillId="0" borderId="0" xfId="7" applyNumberFormat="1" applyFont="1" applyAlignment="1">
      <alignment horizontal="left"/>
    </xf>
    <xf numFmtId="166" fontId="33" fillId="0" borderId="0" xfId="7" applyNumberFormat="1" applyFont="1" applyAlignment="1">
      <alignment horizontal="center" vertical="center"/>
    </xf>
    <xf numFmtId="166" fontId="33" fillId="0" borderId="0" xfId="7" applyNumberFormat="1" applyFont="1" applyAlignment="1">
      <alignment horizontal="right" vertical="center"/>
    </xf>
    <xf numFmtId="166" fontId="33" fillId="11" borderId="45" xfId="7" applyNumberFormat="1" applyFont="1" applyFill="1" applyBorder="1" applyAlignment="1">
      <alignment horizontal="center" vertical="center" wrapText="1"/>
    </xf>
    <xf numFmtId="166" fontId="33" fillId="11" borderId="43" xfId="7" applyNumberFormat="1" applyFont="1" applyFill="1" applyBorder="1" applyAlignment="1">
      <alignment horizontal="center" vertical="center" wrapText="1"/>
    </xf>
    <xf numFmtId="166" fontId="46" fillId="0" borderId="38" xfId="7" applyNumberFormat="1" applyFont="1" applyBorder="1"/>
    <xf numFmtId="166" fontId="46" fillId="0" borderId="59" xfId="7" applyNumberFormat="1" applyFont="1" applyBorder="1"/>
    <xf numFmtId="166" fontId="46" fillId="0" borderId="55" xfId="7" applyNumberFormat="1" applyFont="1" applyBorder="1"/>
    <xf numFmtId="166" fontId="35" fillId="0" borderId="59" xfId="7" applyNumberFormat="1" applyFont="1" applyBorder="1" applyAlignment="1">
      <alignment horizontal="center" vertical="center"/>
    </xf>
    <xf numFmtId="166" fontId="29" fillId="0" borderId="55" xfId="7" applyNumberFormat="1" applyFont="1" applyBorder="1"/>
    <xf numFmtId="166" fontId="40" fillId="0" borderId="0" xfId="7" applyNumberFormat="1" applyFont="1" applyAlignment="1">
      <alignment horizontal="left"/>
    </xf>
    <xf numFmtId="166" fontId="35" fillId="0" borderId="0" xfId="7" applyNumberFormat="1" applyFont="1" applyAlignment="1">
      <alignment horizontal="center"/>
    </xf>
    <xf numFmtId="166" fontId="29" fillId="0" borderId="0" xfId="7" applyNumberFormat="1" applyFont="1"/>
    <xf numFmtId="166" fontId="29" fillId="0" borderId="0" xfId="7" applyNumberFormat="1" applyFont="1" applyAlignment="1">
      <alignment horizontal="left"/>
    </xf>
    <xf numFmtId="0" fontId="42" fillId="5" borderId="74" xfId="7" applyFont="1" applyFill="1" applyBorder="1" applyAlignment="1">
      <alignment horizontal="center" vertical="center"/>
    </xf>
    <xf numFmtId="0" fontId="42" fillId="5" borderId="75" xfId="7" applyFont="1" applyFill="1" applyBorder="1" applyAlignment="1">
      <alignment horizontal="center" vertical="center"/>
    </xf>
    <xf numFmtId="166" fontId="42" fillId="5" borderId="28" xfId="7" applyNumberFormat="1" applyFont="1" applyFill="1" applyBorder="1" applyAlignment="1">
      <alignment horizontal="center" vertical="center" wrapText="1"/>
    </xf>
    <xf numFmtId="0" fontId="46" fillId="0" borderId="76" xfId="7" applyFont="1" applyBorder="1"/>
    <xf numFmtId="3" fontId="46" fillId="0" borderId="77" xfId="7" applyNumberFormat="1" applyFont="1" applyBorder="1"/>
    <xf numFmtId="166" fontId="33" fillId="0" borderId="43" xfId="7" applyNumberFormat="1" applyFont="1" applyBorder="1" applyAlignment="1">
      <alignment horizontal="right" vertical="center"/>
    </xf>
    <xf numFmtId="166" fontId="47" fillId="0" borderId="0" xfId="7" applyNumberFormat="1" applyFont="1" applyAlignment="1">
      <alignment horizontal="center" vertical="center"/>
    </xf>
    <xf numFmtId="166" fontId="40" fillId="0" borderId="0" xfId="7" applyNumberFormat="1" applyFont="1"/>
    <xf numFmtId="0" fontId="35" fillId="9" borderId="42" xfId="7" applyFont="1" applyFill="1" applyBorder="1" applyAlignment="1">
      <alignment horizontal="center" vertical="center" wrapText="1"/>
    </xf>
    <xf numFmtId="49" fontId="49" fillId="12" borderId="43" xfId="7" applyNumberFormat="1" applyFont="1" applyFill="1" applyBorder="1"/>
    <xf numFmtId="3" fontId="49" fillId="12" borderId="43" xfId="7" applyNumberFormat="1" applyFont="1" applyFill="1" applyBorder="1"/>
    <xf numFmtId="3" fontId="49" fillId="12" borderId="45" xfId="7" applyNumberFormat="1" applyFont="1" applyFill="1" applyBorder="1"/>
    <xf numFmtId="3" fontId="35" fillId="9" borderId="59" xfId="7" applyNumberFormat="1" applyFont="1" applyFill="1" applyBorder="1" applyAlignment="1">
      <alignment vertical="center"/>
    </xf>
    <xf numFmtId="0" fontId="35" fillId="11" borderId="0" xfId="7" applyFont="1" applyFill="1" applyAlignment="1">
      <alignment horizontal="center" vertical="center" wrapText="1"/>
    </xf>
    <xf numFmtId="166" fontId="33" fillId="15" borderId="0" xfId="7" applyNumberFormat="1" applyFont="1" applyFill="1" applyAlignment="1">
      <alignment vertical="center"/>
    </xf>
    <xf numFmtId="0" fontId="50" fillId="0" borderId="0" xfId="3" applyFont="1"/>
    <xf numFmtId="0" fontId="23" fillId="3" borderId="0" xfId="0" applyFont="1" applyFill="1" applyBorder="1" applyAlignment="1">
      <alignment horizontal="left" vertical="center" wrapText="1"/>
    </xf>
    <xf numFmtId="4" fontId="22" fillId="0" borderId="1" xfId="0" applyNumberFormat="1" applyFont="1" applyFill="1" applyBorder="1" applyAlignment="1">
      <alignment horizontal="right" vertical="center" wrapText="1"/>
    </xf>
    <xf numFmtId="4" fontId="10" fillId="2" borderId="1" xfId="0" quotePrefix="1" applyNumberFormat="1" applyFont="1" applyFill="1" applyBorder="1" applyAlignment="1">
      <alignment horizontal="right" vertical="center" wrapText="1"/>
    </xf>
    <xf numFmtId="0" fontId="26" fillId="0" borderId="0" xfId="0" applyFont="1"/>
    <xf numFmtId="0" fontId="10" fillId="6" borderId="78" xfId="0" applyFont="1" applyFill="1" applyBorder="1" applyAlignment="1">
      <alignment horizontal="center" vertical="center" wrapText="1"/>
    </xf>
    <xf numFmtId="4" fontId="4" fillId="4" borderId="1" xfId="0" applyNumberFormat="1" applyFont="1" applyFill="1" applyBorder="1" applyAlignment="1">
      <alignment horizontal="right" vertical="center" wrapText="1"/>
    </xf>
    <xf numFmtId="3" fontId="13" fillId="7" borderId="79" xfId="0" applyNumberFormat="1" applyFont="1" applyFill="1" applyBorder="1" applyAlignment="1">
      <alignment horizontal="right" vertical="center" wrapText="1"/>
    </xf>
    <xf numFmtId="0" fontId="51" fillId="0" borderId="0" xfId="0" applyFont="1"/>
    <xf numFmtId="0" fontId="9" fillId="5" borderId="80" xfId="0" applyFont="1" applyFill="1" applyBorder="1" applyAlignment="1">
      <alignment horizontal="center" vertical="center" wrapText="1"/>
    </xf>
    <xf numFmtId="3" fontId="10" fillId="0" borderId="81" xfId="0" applyNumberFormat="1" applyFont="1" applyBorder="1" applyAlignment="1">
      <alignment horizontal="right" vertical="center" wrapText="1"/>
    </xf>
    <xf numFmtId="3" fontId="10" fillId="0" borderId="82" xfId="0" applyNumberFormat="1" applyFont="1" applyBorder="1" applyAlignment="1">
      <alignment horizontal="right" vertical="center" wrapText="1"/>
    </xf>
    <xf numFmtId="3" fontId="10" fillId="6" borderId="83" xfId="0" applyNumberFormat="1" applyFont="1" applyFill="1" applyBorder="1" applyAlignment="1">
      <alignment horizontal="right" vertical="center" wrapText="1"/>
    </xf>
    <xf numFmtId="3" fontId="10" fillId="6" borderId="82" xfId="0" applyNumberFormat="1" applyFont="1" applyFill="1" applyBorder="1" applyAlignment="1">
      <alignment horizontal="right" vertical="center" wrapText="1"/>
    </xf>
    <xf numFmtId="3" fontId="10" fillId="6" borderId="84" xfId="0" applyNumberFormat="1" applyFont="1" applyFill="1" applyBorder="1" applyAlignment="1">
      <alignment horizontal="right" vertical="center" wrapText="1"/>
    </xf>
    <xf numFmtId="3" fontId="10" fillId="6" borderId="85" xfId="0" applyNumberFormat="1" applyFont="1" applyFill="1" applyBorder="1" applyAlignment="1">
      <alignment horizontal="right" vertical="center" wrapText="1"/>
    </xf>
    <xf numFmtId="3" fontId="10" fillId="6" borderId="36" xfId="0" applyNumberFormat="1" applyFont="1" applyFill="1" applyBorder="1" applyAlignment="1">
      <alignment horizontal="right" vertical="center" wrapText="1"/>
    </xf>
    <xf numFmtId="3" fontId="13" fillId="7" borderId="86" xfId="0" applyNumberFormat="1" applyFont="1" applyFill="1" applyBorder="1" applyAlignment="1">
      <alignment horizontal="right" vertical="center" wrapText="1"/>
    </xf>
    <xf numFmtId="3" fontId="13" fillId="7" borderId="87" xfId="0" applyNumberFormat="1" applyFont="1" applyFill="1" applyBorder="1" applyAlignment="1">
      <alignment horizontal="right" vertical="center" wrapText="1"/>
    </xf>
    <xf numFmtId="3" fontId="13" fillId="7" borderId="88" xfId="0" applyNumberFormat="1" applyFont="1" applyFill="1" applyBorder="1" applyAlignment="1">
      <alignment horizontal="right" vertical="center" wrapText="1"/>
    </xf>
    <xf numFmtId="3" fontId="13" fillId="7" borderId="89" xfId="0" applyNumberFormat="1" applyFont="1" applyFill="1" applyBorder="1" applyAlignment="1">
      <alignment horizontal="right" vertical="center" wrapText="1"/>
    </xf>
    <xf numFmtId="3" fontId="13" fillId="7" borderId="90" xfId="0" applyNumberFormat="1" applyFont="1" applyFill="1" applyBorder="1" applyAlignment="1">
      <alignment horizontal="right" vertical="center" wrapText="1"/>
    </xf>
    <xf numFmtId="3" fontId="13" fillId="7" borderId="91" xfId="0" applyNumberFormat="1" applyFont="1" applyFill="1" applyBorder="1" applyAlignment="1">
      <alignment horizontal="right" vertical="center" wrapText="1"/>
    </xf>
    <xf numFmtId="3" fontId="13" fillId="7" borderId="92" xfId="0" applyNumberFormat="1" applyFont="1" applyFill="1" applyBorder="1" applyAlignment="1">
      <alignment horizontal="right" vertical="center" wrapText="1"/>
    </xf>
    <xf numFmtId="3" fontId="13" fillId="7" borderId="93" xfId="0" applyNumberFormat="1" applyFont="1" applyFill="1" applyBorder="1" applyAlignment="1">
      <alignment horizontal="right" vertical="center" wrapText="1"/>
    </xf>
    <xf numFmtId="3" fontId="13" fillId="7" borderId="94" xfId="0" applyNumberFormat="1" applyFont="1" applyFill="1" applyBorder="1" applyAlignment="1">
      <alignment horizontal="right" vertical="center" wrapText="1"/>
    </xf>
    <xf numFmtId="0" fontId="0" fillId="0" borderId="3" xfId="0" applyBorder="1" applyAlignment="1">
      <alignment horizontal="left" vertical="top" wrapText="1" shrinkToFit="1"/>
    </xf>
    <xf numFmtId="166" fontId="35" fillId="5" borderId="41" xfId="7" applyNumberFormat="1" applyFont="1" applyFill="1" applyBorder="1" applyAlignment="1">
      <alignment horizontal="center" vertical="center"/>
    </xf>
    <xf numFmtId="166" fontId="35" fillId="5" borderId="59" xfId="7" applyNumberFormat="1" applyFont="1" applyFill="1" applyBorder="1" applyAlignment="1">
      <alignment horizontal="center" vertical="center"/>
    </xf>
    <xf numFmtId="0" fontId="31" fillId="0" borderId="0" xfId="7" applyFont="1" applyAlignment="1">
      <alignment horizontal="center"/>
    </xf>
    <xf numFmtId="0" fontId="33" fillId="0" borderId="0" xfId="7" applyFont="1" applyAlignment="1">
      <alignment horizontal="center"/>
    </xf>
    <xf numFmtId="0" fontId="29" fillId="0" borderId="0" xfId="7" applyFont="1" applyAlignment="1">
      <alignment horizontal="center"/>
    </xf>
    <xf numFmtId="166" fontId="33" fillId="11" borderId="41" xfId="7" applyNumberFormat="1" applyFont="1" applyFill="1" applyBorder="1" applyAlignment="1">
      <alignment horizontal="center" vertical="center"/>
    </xf>
    <xf numFmtId="166" fontId="33" fillId="11" borderId="59" xfId="7" applyNumberFormat="1" applyFont="1" applyFill="1" applyBorder="1" applyAlignment="1">
      <alignment horizontal="center" vertical="center"/>
    </xf>
    <xf numFmtId="166" fontId="35" fillId="11" borderId="41" xfId="7" applyNumberFormat="1" applyFont="1" applyFill="1" applyBorder="1" applyAlignment="1">
      <alignment horizontal="center" vertical="center"/>
    </xf>
    <xf numFmtId="166" fontId="35" fillId="11" borderId="59" xfId="7" applyNumberFormat="1" applyFont="1" applyFill="1" applyBorder="1" applyAlignment="1">
      <alignment horizontal="center" vertical="center"/>
    </xf>
    <xf numFmtId="0" fontId="10" fillId="0" borderId="34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left" vertical="center" wrapText="1"/>
    </xf>
    <xf numFmtId="3" fontId="10" fillId="0" borderId="20" xfId="0" applyNumberFormat="1" applyFont="1" applyBorder="1" applyAlignment="1">
      <alignment horizontal="right" vertical="center" wrapText="1"/>
    </xf>
    <xf numFmtId="3" fontId="10" fillId="0" borderId="83" xfId="0" applyNumberFormat="1" applyFont="1" applyBorder="1" applyAlignment="1">
      <alignment horizontal="right" vertical="center" wrapText="1"/>
    </xf>
    <xf numFmtId="3" fontId="10" fillId="0" borderId="16" xfId="0" applyNumberFormat="1" applyFont="1" applyBorder="1" applyAlignment="1">
      <alignment horizontal="right" vertical="center" wrapText="1"/>
    </xf>
  </cellXfs>
  <cellStyles count="8">
    <cellStyle name="Čárka" xfId="2" builtinId="3"/>
    <cellStyle name="Čárka 2" xfId="4" xr:uid="{00000000-0005-0000-0000-000001000000}"/>
    <cellStyle name="Normální" xfId="0" builtinId="0"/>
    <cellStyle name="Normální 2" xfId="3" xr:uid="{00000000-0005-0000-0000-000003000000}"/>
    <cellStyle name="Normální 3" xfId="5" xr:uid="{9BEE118E-C8F8-4F76-82EE-F0C1E4B75898}"/>
    <cellStyle name="Normální 3 2" xfId="7" xr:uid="{CECC8826-28E0-4936-BDB9-DECC5497C323}"/>
    <cellStyle name="Procenta" xfId="1" builtinId="5"/>
    <cellStyle name="Procenta 2" xfId="6" xr:uid="{E64C0E9E-150B-45FE-9CE8-DF84CE0A1693}"/>
  </cellStyles>
  <dxfs count="0"/>
  <tableStyles count="0" defaultTableStyle="TableStyleMedium2" defaultPivotStyle="PivotStyleLight16"/>
  <colors>
    <mruColors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41910</xdr:colOff>
      <xdr:row>5</xdr:row>
      <xdr:rowOff>64770</xdr:rowOff>
    </xdr:from>
    <xdr:to>
      <xdr:col>19</xdr:col>
      <xdr:colOff>89072</xdr:colOff>
      <xdr:row>27</xdr:row>
      <xdr:rowOff>104377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8A946867-7376-C2F4-5BE3-AE755ECCD1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54590" y="788670"/>
          <a:ext cx="3796202" cy="3224767"/>
        </a:xfrm>
        <a:prstGeom prst="rect">
          <a:avLst/>
        </a:prstGeom>
      </xdr:spPr>
    </xdr:pic>
    <xdr:clientData/>
  </xdr:twoCellAnchor>
  <xdr:twoCellAnchor editAs="oneCell">
    <xdr:from>
      <xdr:col>4</xdr:col>
      <xdr:colOff>285751</xdr:colOff>
      <xdr:row>0</xdr:row>
      <xdr:rowOff>0</xdr:rowOff>
    </xdr:from>
    <xdr:to>
      <xdr:col>10</xdr:col>
      <xdr:colOff>99060</xdr:colOff>
      <xdr:row>28</xdr:row>
      <xdr:rowOff>6819</xdr:rowOff>
    </xdr:to>
    <xdr:pic>
      <xdr:nvPicPr>
        <xdr:cNvPr id="3" name="Obrázek 2" descr="Obsah obrázku text, snímek obrazovky, Písmo, číslo&#10;&#10;Popis byl vytvořen automaticky">
          <a:extLst>
            <a:ext uri="{FF2B5EF4-FFF2-40B4-BE49-F238E27FC236}">
              <a16:creationId xmlns:a16="http://schemas.microsoft.com/office/drawing/2014/main" id="{DB285C50-7424-4F79-A13B-938C65BC06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674871" y="0"/>
          <a:ext cx="3562349" cy="40606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310093</xdr:colOff>
      <xdr:row>14</xdr:row>
      <xdr:rowOff>145756</xdr:rowOff>
    </xdr:from>
    <xdr:to>
      <xdr:col>19</xdr:col>
      <xdr:colOff>523874</xdr:colOff>
      <xdr:row>76</xdr:row>
      <xdr:rowOff>128060</xdr:rowOff>
    </xdr:to>
    <xdr:pic>
      <xdr:nvPicPr>
        <xdr:cNvPr id="2" name="Obrázek 1" descr="Obsah obrázku text, diagram, Paralelní&#10;&#10;Popis byl vytvořen automaticky">
          <a:extLst>
            <a:ext uri="{FF2B5EF4-FFF2-40B4-BE49-F238E27FC236}">
              <a16:creationId xmlns:a16="http://schemas.microsoft.com/office/drawing/2014/main" id="{5903A387-E01B-4487-8E7A-668435AE0F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5400000">
          <a:off x="7850569" y="3339955"/>
          <a:ext cx="8983429" cy="895773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I81"/>
  <sheetViews>
    <sheetView showGridLines="0" tabSelected="1" zoomScale="90" zoomScaleNormal="90" workbookViewId="0">
      <pane ySplit="5" topLeftCell="A6" activePane="bottomLeft" state="frozen"/>
      <selection pane="bottomLeft" activeCell="C23" sqref="C23"/>
    </sheetView>
  </sheetViews>
  <sheetFormatPr defaultColWidth="9.109375" defaultRowHeight="10.199999999999999" outlineLevelRow="1"/>
  <cols>
    <col min="1" max="1" width="8.109375" style="3" customWidth="1"/>
    <col min="2" max="2" width="8.5546875" style="3" hidden="1" customWidth="1"/>
    <col min="3" max="3" width="105.5546875" style="3" customWidth="1"/>
    <col min="4" max="4" width="24.77734375" style="3" hidden="1" customWidth="1"/>
    <col min="5" max="5" width="24.77734375" style="3" customWidth="1"/>
    <col min="6" max="6" width="24.77734375" style="3" hidden="1" customWidth="1"/>
    <col min="7" max="7" width="24.77734375" style="3" customWidth="1"/>
    <col min="8" max="8" width="25.109375" style="3" customWidth="1"/>
    <col min="9" max="9" width="26.6640625" style="3" customWidth="1"/>
    <col min="10" max="16384" width="9.109375" style="3"/>
  </cols>
  <sheetData>
    <row r="2" spans="1:9" ht="13.2">
      <c r="C2" s="57" t="s">
        <v>470</v>
      </c>
    </row>
    <row r="4" spans="1:9" ht="10.8" thickBot="1"/>
    <row r="5" spans="1:9" ht="21.75" customHeight="1" thickBot="1">
      <c r="A5" s="73" t="s">
        <v>18</v>
      </c>
      <c r="B5" s="60" t="s">
        <v>17</v>
      </c>
      <c r="C5" s="61" t="s">
        <v>16</v>
      </c>
      <c r="D5" s="69" t="s">
        <v>288</v>
      </c>
      <c r="E5" s="69" t="s">
        <v>289</v>
      </c>
      <c r="F5" s="69" t="s">
        <v>468</v>
      </c>
      <c r="G5" s="294" t="s">
        <v>469</v>
      </c>
      <c r="H5" s="62" t="s">
        <v>239</v>
      </c>
      <c r="I5" s="61" t="s">
        <v>240</v>
      </c>
    </row>
    <row r="6" spans="1:9" ht="12" customHeight="1" outlineLevel="1" thickBot="1">
      <c r="A6" s="74"/>
      <c r="B6" s="67">
        <v>1111</v>
      </c>
      <c r="C6" s="68" t="s">
        <v>58</v>
      </c>
      <c r="D6" s="82">
        <f>Příjmy!D3</f>
        <v>1900000</v>
      </c>
      <c r="E6" s="295">
        <f>Příjmy!K3</f>
        <v>2163500</v>
      </c>
      <c r="F6" s="295">
        <f>Příjmy!H3</f>
        <v>1795377.69</v>
      </c>
      <c r="G6" s="295">
        <f>Příjmy!L3</f>
        <v>2200000</v>
      </c>
      <c r="H6" s="295">
        <f>Příjmy!M3</f>
        <v>2300000</v>
      </c>
      <c r="I6" s="92">
        <f>Příjmy!N3</f>
        <v>2400000</v>
      </c>
    </row>
    <row r="7" spans="1:9" ht="12" customHeight="1" outlineLevel="1" thickBot="1">
      <c r="A7" s="75"/>
      <c r="B7" s="58">
        <v>1112</v>
      </c>
      <c r="C7" s="63" t="s">
        <v>57</v>
      </c>
      <c r="D7" s="83">
        <f>Příjmy!D4</f>
        <v>130000</v>
      </c>
      <c r="E7" s="296">
        <f>Příjmy!K4</f>
        <v>130000</v>
      </c>
      <c r="F7" s="296">
        <f>Příjmy!H4</f>
        <v>113385.2</v>
      </c>
      <c r="G7" s="296">
        <f>Příjmy!L4</f>
        <v>130000</v>
      </c>
      <c r="H7" s="296">
        <f>Příjmy!M4</f>
        <v>130000</v>
      </c>
      <c r="I7" s="93">
        <f>Příjmy!N4</f>
        <v>130000</v>
      </c>
    </row>
    <row r="8" spans="1:9" ht="12" customHeight="1" outlineLevel="1" thickBot="1">
      <c r="A8" s="75"/>
      <c r="B8" s="58">
        <v>1113</v>
      </c>
      <c r="C8" s="63" t="s">
        <v>56</v>
      </c>
      <c r="D8" s="83">
        <f>Příjmy!D5</f>
        <v>450000</v>
      </c>
      <c r="E8" s="296">
        <f>Příjmy!K5</f>
        <v>530000</v>
      </c>
      <c r="F8" s="296">
        <f>Příjmy!H5</f>
        <v>435543.87</v>
      </c>
      <c r="G8" s="296">
        <f>Příjmy!L5</f>
        <v>530000</v>
      </c>
      <c r="H8" s="296">
        <f>Příjmy!M5</f>
        <v>600000</v>
      </c>
      <c r="I8" s="93">
        <f>Příjmy!N5</f>
        <v>620000</v>
      </c>
    </row>
    <row r="9" spans="1:9" ht="12" customHeight="1" outlineLevel="1" thickBot="1">
      <c r="A9" s="75"/>
      <c r="B9" s="58">
        <v>1121</v>
      </c>
      <c r="C9" s="63" t="s">
        <v>55</v>
      </c>
      <c r="D9" s="83">
        <f>Příjmy!D6</f>
        <v>3000000</v>
      </c>
      <c r="E9" s="296">
        <f>Příjmy!K6</f>
        <v>2974563.04</v>
      </c>
      <c r="F9" s="296">
        <f>Příjmy!H6</f>
        <v>2551680.9900000002</v>
      </c>
      <c r="G9" s="296">
        <f>Příjmy!L6</f>
        <v>3000000</v>
      </c>
      <c r="H9" s="296">
        <f>Příjmy!M6</f>
        <v>3000000</v>
      </c>
      <c r="I9" s="93">
        <f>Příjmy!N6</f>
        <v>3000000</v>
      </c>
    </row>
    <row r="10" spans="1:9" ht="12" customHeight="1" outlineLevel="1" thickBot="1">
      <c r="A10" s="75"/>
      <c r="B10" s="58">
        <v>1211</v>
      </c>
      <c r="C10" s="63" t="s">
        <v>54</v>
      </c>
      <c r="D10" s="83">
        <f>Příjmy!D7</f>
        <v>6150000</v>
      </c>
      <c r="E10" s="296">
        <f>Příjmy!K7</f>
        <v>6295000</v>
      </c>
      <c r="F10" s="296">
        <f>Příjmy!H7</f>
        <v>5101455.2300000004</v>
      </c>
      <c r="G10" s="296">
        <f>Příjmy!L7</f>
        <v>6200000</v>
      </c>
      <c r="H10" s="296">
        <f>Příjmy!M7</f>
        <v>6350000</v>
      </c>
      <c r="I10" s="93">
        <f>Příjmy!N7</f>
        <v>6400000</v>
      </c>
    </row>
    <row r="11" spans="1:9" ht="12" customHeight="1" outlineLevel="1" thickBot="1">
      <c r="A11" s="75"/>
      <c r="B11" s="58">
        <v>1334</v>
      </c>
      <c r="C11" s="63" t="s">
        <v>53</v>
      </c>
      <c r="D11" s="83">
        <f>Příjmy!D8</f>
        <v>30000</v>
      </c>
      <c r="E11" s="296">
        <f>Příjmy!K8</f>
        <v>30000</v>
      </c>
      <c r="F11" s="296">
        <f>Příjmy!H8</f>
        <v>29516.400000000001</v>
      </c>
      <c r="G11" s="296">
        <f>Příjmy!L8</f>
        <v>30000</v>
      </c>
      <c r="H11" s="296">
        <f>Příjmy!M8</f>
        <v>30000</v>
      </c>
      <c r="I11" s="93">
        <f>Příjmy!N8</f>
        <v>30000</v>
      </c>
    </row>
    <row r="12" spans="1:9" ht="12" customHeight="1" outlineLevel="1" thickBot="1">
      <c r="A12" s="75"/>
      <c r="B12" s="58">
        <v>1340</v>
      </c>
      <c r="C12" s="63" t="s">
        <v>154</v>
      </c>
      <c r="D12" s="83">
        <f>Příjmy!D9</f>
        <v>0</v>
      </c>
      <c r="E12" s="296">
        <f>Příjmy!K9</f>
        <v>0</v>
      </c>
      <c r="F12" s="296">
        <f>Příjmy!H9</f>
        <v>0</v>
      </c>
      <c r="G12" s="296">
        <f>Příjmy!L9</f>
        <v>0</v>
      </c>
      <c r="H12" s="296">
        <f>Příjmy!M9</f>
        <v>0</v>
      </c>
      <c r="I12" s="93">
        <f>Příjmy!N9</f>
        <v>0</v>
      </c>
    </row>
    <row r="13" spans="1:9" ht="12" customHeight="1" outlineLevel="1" thickBot="1">
      <c r="A13" s="75"/>
      <c r="B13" s="58">
        <v>1341</v>
      </c>
      <c r="C13" s="63" t="s">
        <v>52</v>
      </c>
      <c r="D13" s="83">
        <f>Příjmy!D10</f>
        <v>35000</v>
      </c>
      <c r="E13" s="296">
        <f>Příjmy!K10</f>
        <v>35000</v>
      </c>
      <c r="F13" s="296">
        <f>Příjmy!H10</f>
        <v>24217</v>
      </c>
      <c r="G13" s="296">
        <f>Příjmy!L10</f>
        <v>25000</v>
      </c>
      <c r="H13" s="296">
        <f>Příjmy!M10</f>
        <v>25000</v>
      </c>
      <c r="I13" s="93">
        <f>Příjmy!N10</f>
        <v>25000</v>
      </c>
    </row>
    <row r="14" spans="1:9" ht="12" customHeight="1" outlineLevel="1" thickBot="1">
      <c r="A14" s="75"/>
      <c r="B14" s="58">
        <v>1343</v>
      </c>
      <c r="C14" s="63" t="s">
        <v>51</v>
      </c>
      <c r="D14" s="83">
        <f>Příjmy!D11</f>
        <v>3000</v>
      </c>
      <c r="E14" s="296">
        <f>Příjmy!K11</f>
        <v>3000</v>
      </c>
      <c r="F14" s="296">
        <f>Příjmy!H11</f>
        <v>3000</v>
      </c>
      <c r="G14" s="296">
        <f>Příjmy!L11</f>
        <v>3000</v>
      </c>
      <c r="H14" s="296">
        <f>Příjmy!M11</f>
        <v>3000</v>
      </c>
      <c r="I14" s="93">
        <f>Příjmy!N11</f>
        <v>3000</v>
      </c>
    </row>
    <row r="15" spans="1:9" ht="12" customHeight="1" outlineLevel="1" thickBot="1">
      <c r="A15" s="75"/>
      <c r="B15" s="58">
        <v>1345</v>
      </c>
      <c r="C15" s="63" t="s">
        <v>50</v>
      </c>
      <c r="D15" s="83">
        <f>Příjmy!D12</f>
        <v>700000</v>
      </c>
      <c r="E15" s="296">
        <f>Příjmy!K12</f>
        <v>700000</v>
      </c>
      <c r="F15" s="296">
        <f>Příjmy!H12</f>
        <v>642075</v>
      </c>
      <c r="G15" s="296">
        <f>Příjmy!L12</f>
        <v>650000</v>
      </c>
      <c r="H15" s="296">
        <f>Příjmy!M12</f>
        <v>670000</v>
      </c>
      <c r="I15" s="93">
        <f>Příjmy!N12</f>
        <v>675000</v>
      </c>
    </row>
    <row r="16" spans="1:9" ht="12" customHeight="1" outlineLevel="1" thickBot="1">
      <c r="A16" s="75"/>
      <c r="B16" s="58">
        <v>1361</v>
      </c>
      <c r="C16" s="63" t="s">
        <v>49</v>
      </c>
      <c r="D16" s="83">
        <f>Příjmy!D13</f>
        <v>6000</v>
      </c>
      <c r="E16" s="296">
        <f>Příjmy!K13</f>
        <v>11800</v>
      </c>
      <c r="F16" s="296">
        <f>Příjmy!H13</f>
        <v>10030</v>
      </c>
      <c r="G16" s="296">
        <f>Příjmy!L13</f>
        <v>10000</v>
      </c>
      <c r="H16" s="296">
        <f>Příjmy!M13</f>
        <v>10000</v>
      </c>
      <c r="I16" s="93">
        <f>Příjmy!N13</f>
        <v>10000</v>
      </c>
    </row>
    <row r="17" spans="1:9" ht="12" customHeight="1" outlineLevel="1" thickBot="1">
      <c r="A17" s="75"/>
      <c r="B17" s="58">
        <v>1381</v>
      </c>
      <c r="C17" s="63" t="s">
        <v>48</v>
      </c>
      <c r="D17" s="83">
        <f>Příjmy!D14</f>
        <v>80000</v>
      </c>
      <c r="E17" s="296">
        <f>Příjmy!K14</f>
        <v>80000</v>
      </c>
      <c r="F17" s="296">
        <f>Příjmy!H14</f>
        <v>26868.73</v>
      </c>
      <c r="G17" s="296">
        <f>Příjmy!L14</f>
        <v>50000</v>
      </c>
      <c r="H17" s="296">
        <f>Příjmy!M14</f>
        <v>50000</v>
      </c>
      <c r="I17" s="93">
        <f>Příjmy!N14</f>
        <v>50000</v>
      </c>
    </row>
    <row r="18" spans="1:9" ht="12" customHeight="1" outlineLevel="1" thickBot="1">
      <c r="A18" s="75"/>
      <c r="B18" s="58"/>
      <c r="C18" s="63" t="s">
        <v>291</v>
      </c>
      <c r="D18" s="83">
        <f>Příjmy!D15</f>
        <v>0</v>
      </c>
      <c r="E18" s="296">
        <f>Příjmy!K15</f>
        <v>85000</v>
      </c>
      <c r="F18" s="296">
        <f>Příjmy!H15</f>
        <v>53802.67</v>
      </c>
      <c r="G18" s="296">
        <f>Příjmy!L15</f>
        <v>50000</v>
      </c>
      <c r="H18" s="296">
        <f>Příjmy!M15</f>
        <v>50000</v>
      </c>
      <c r="I18" s="93">
        <f>Příjmy!N15</f>
        <v>50000</v>
      </c>
    </row>
    <row r="19" spans="1:9" ht="12" customHeight="1" outlineLevel="1" thickBot="1">
      <c r="A19" s="75"/>
      <c r="B19" s="58"/>
      <c r="C19" s="63" t="s">
        <v>292</v>
      </c>
      <c r="D19" s="83">
        <f>Příjmy!D16</f>
        <v>0</v>
      </c>
      <c r="E19" s="296">
        <f>Příjmy!K16</f>
        <v>55000</v>
      </c>
      <c r="F19" s="296">
        <f>Příjmy!H16</f>
        <v>25239.97</v>
      </c>
      <c r="G19" s="296">
        <f>Příjmy!L16</f>
        <v>25000</v>
      </c>
      <c r="H19" s="296">
        <f>Příjmy!M16</f>
        <v>25000</v>
      </c>
      <c r="I19" s="93">
        <f>Příjmy!N16</f>
        <v>25000</v>
      </c>
    </row>
    <row r="20" spans="1:9" ht="12" customHeight="1" outlineLevel="1" thickBot="1">
      <c r="A20" s="75"/>
      <c r="B20" s="58">
        <v>1511</v>
      </c>
      <c r="C20" s="63" t="s">
        <v>47</v>
      </c>
      <c r="D20" s="83">
        <f>Příjmy!D17</f>
        <v>350000</v>
      </c>
      <c r="E20" s="296">
        <f>Příjmy!K17</f>
        <v>490000</v>
      </c>
      <c r="F20" s="296">
        <f>Příjmy!H17</f>
        <v>486091.23</v>
      </c>
      <c r="G20" s="296">
        <f>Příjmy!L17</f>
        <v>550000</v>
      </c>
      <c r="H20" s="296">
        <f>Příjmy!M17</f>
        <v>600000</v>
      </c>
      <c r="I20" s="93">
        <f>Příjmy!N17</f>
        <v>620000</v>
      </c>
    </row>
    <row r="21" spans="1:9" ht="12" customHeight="1" outlineLevel="1" thickBot="1">
      <c r="A21" s="75"/>
      <c r="B21" s="58">
        <v>2420</v>
      </c>
      <c r="C21" s="63" t="s">
        <v>46</v>
      </c>
      <c r="D21" s="83">
        <f>Příjmy!D18</f>
        <v>200000</v>
      </c>
      <c r="E21" s="296">
        <f>Příjmy!K18</f>
        <v>200000</v>
      </c>
      <c r="F21" s="296">
        <f>Příjmy!H18</f>
        <v>0</v>
      </c>
      <c r="G21" s="296">
        <f>Příjmy!L18</f>
        <v>200000</v>
      </c>
      <c r="H21" s="296">
        <f>Příjmy!M18</f>
        <v>0</v>
      </c>
      <c r="I21" s="93">
        <f>Příjmy!N18</f>
        <v>0</v>
      </c>
    </row>
    <row r="22" spans="1:9" ht="12" customHeight="1" outlineLevel="1" thickBot="1">
      <c r="A22" s="75"/>
      <c r="B22" s="58">
        <v>4111</v>
      </c>
      <c r="C22" s="63" t="s">
        <v>45</v>
      </c>
      <c r="D22" s="83">
        <f>Příjmy!D19</f>
        <v>50000</v>
      </c>
      <c r="E22" s="296">
        <f>Příjmy!K19</f>
        <v>107436.96</v>
      </c>
      <c r="F22" s="296">
        <f>Příjmy!H19</f>
        <v>57436.959999999999</v>
      </c>
      <c r="G22" s="296">
        <f>Příjmy!L19</f>
        <v>50000</v>
      </c>
      <c r="H22" s="296">
        <f>Příjmy!M19</f>
        <v>50000</v>
      </c>
      <c r="I22" s="93">
        <f>Příjmy!N19</f>
        <v>0</v>
      </c>
    </row>
    <row r="23" spans="1:9" ht="12" customHeight="1" outlineLevel="1" thickBot="1">
      <c r="A23" s="75"/>
      <c r="B23" s="58">
        <v>4112</v>
      </c>
      <c r="C23" s="63" t="s">
        <v>44</v>
      </c>
      <c r="D23" s="83">
        <f>Příjmy!D20</f>
        <v>173600</v>
      </c>
      <c r="E23" s="296">
        <f>Příjmy!K20</f>
        <v>173000</v>
      </c>
      <c r="F23" s="296">
        <f>Příjmy!H20</f>
        <v>144170</v>
      </c>
      <c r="G23" s="296">
        <f>Příjmy!L20</f>
        <v>175000</v>
      </c>
      <c r="H23" s="296">
        <f>Příjmy!M20</f>
        <v>175000</v>
      </c>
      <c r="I23" s="93">
        <f>Příjmy!N20</f>
        <v>175000</v>
      </c>
    </row>
    <row r="24" spans="1:9" ht="12" customHeight="1" outlineLevel="1" thickBot="1">
      <c r="A24" s="75"/>
      <c r="B24" s="58">
        <v>4116</v>
      </c>
      <c r="C24" s="63" t="s">
        <v>155</v>
      </c>
      <c r="D24" s="83">
        <f>Příjmy!D21</f>
        <v>0</v>
      </c>
      <c r="E24" s="296">
        <f>Příjmy!K21</f>
        <v>104500</v>
      </c>
      <c r="F24" s="296">
        <f>Příjmy!H21</f>
        <v>104500</v>
      </c>
      <c r="G24" s="296">
        <f>Příjmy!L21</f>
        <v>0</v>
      </c>
      <c r="H24" s="296">
        <f>Příjmy!M21</f>
        <v>0</v>
      </c>
      <c r="I24" s="93">
        <f>Příjmy!N21</f>
        <v>0</v>
      </c>
    </row>
    <row r="25" spans="1:9" ht="12" customHeight="1" outlineLevel="1" thickBot="1">
      <c r="A25" s="75"/>
      <c r="B25" s="58">
        <v>4122</v>
      </c>
      <c r="C25" s="63" t="s">
        <v>156</v>
      </c>
      <c r="D25" s="83">
        <f>Příjmy!D22</f>
        <v>0</v>
      </c>
      <c r="E25" s="296">
        <f>Příjmy!K22</f>
        <v>0</v>
      </c>
      <c r="F25" s="296">
        <f>Příjmy!H22</f>
        <v>99100</v>
      </c>
      <c r="G25" s="296">
        <f>Příjmy!L22</f>
        <v>0</v>
      </c>
      <c r="H25" s="296">
        <f>Příjmy!M22</f>
        <v>0</v>
      </c>
      <c r="I25" s="93">
        <f>Příjmy!N22</f>
        <v>0</v>
      </c>
    </row>
    <row r="26" spans="1:9" ht="12" customHeight="1" outlineLevel="1" thickBot="1">
      <c r="A26" s="75"/>
      <c r="B26" s="58">
        <v>4216</v>
      </c>
      <c r="C26" s="63" t="s">
        <v>157</v>
      </c>
      <c r="D26" s="83">
        <f>Příjmy!D24</f>
        <v>0</v>
      </c>
      <c r="E26" s="296">
        <f>Příjmy!K24</f>
        <v>0</v>
      </c>
      <c r="F26" s="296">
        <f>Příjmy!H24</f>
        <v>0</v>
      </c>
      <c r="G26" s="296">
        <f>Příjmy!L24</f>
        <v>0</v>
      </c>
      <c r="H26" s="296">
        <f>Příjmy!M24</f>
        <v>0</v>
      </c>
      <c r="I26" s="93">
        <f>Příjmy!N24</f>
        <v>0</v>
      </c>
    </row>
    <row r="27" spans="1:9" ht="12" customHeight="1" outlineLevel="1" thickBot="1">
      <c r="A27" s="75"/>
      <c r="B27" s="58"/>
      <c r="C27" s="63" t="s">
        <v>241</v>
      </c>
      <c r="D27" s="83">
        <f>Příjmy!D23</f>
        <v>0</v>
      </c>
      <c r="E27" s="296">
        <f>Příjmy!K23</f>
        <v>0</v>
      </c>
      <c r="F27" s="296">
        <f>Příjmy!H23</f>
        <v>0</v>
      </c>
      <c r="G27" s="296">
        <f>Příjmy!L23</f>
        <v>0</v>
      </c>
      <c r="H27" s="296">
        <f>Příjmy!M23</f>
        <v>0</v>
      </c>
      <c r="I27" s="93">
        <f>Příjmy!N23</f>
        <v>0</v>
      </c>
    </row>
    <row r="28" spans="1:9" ht="12" customHeight="1" outlineLevel="1" thickBot="1">
      <c r="A28" s="75"/>
      <c r="B28" s="58">
        <v>4222</v>
      </c>
      <c r="C28" s="63" t="s">
        <v>158</v>
      </c>
      <c r="D28" s="83">
        <f>Příjmy!D25</f>
        <v>0</v>
      </c>
      <c r="E28" s="296">
        <f>Příjmy!K25</f>
        <v>0</v>
      </c>
      <c r="F28" s="296">
        <f>Příjmy!H25</f>
        <v>0</v>
      </c>
      <c r="G28" s="296">
        <f>Příjmy!L25</f>
        <v>0</v>
      </c>
      <c r="H28" s="296">
        <f>Příjmy!M25</f>
        <v>0</v>
      </c>
      <c r="I28" s="93">
        <f>Příjmy!N25</f>
        <v>0</v>
      </c>
    </row>
    <row r="29" spans="1:9" ht="12" customHeight="1" thickBot="1">
      <c r="A29" s="76"/>
      <c r="B29" s="58" t="s">
        <v>2</v>
      </c>
      <c r="C29" s="63" t="s">
        <v>43</v>
      </c>
      <c r="D29" s="83">
        <f>SUM(D6:D28)</f>
        <v>13257600</v>
      </c>
      <c r="E29" s="296">
        <f>SUM(E6:E28)</f>
        <v>14167800</v>
      </c>
      <c r="F29" s="296">
        <f>SUM(F6:F28)</f>
        <v>11703490.940000003</v>
      </c>
      <c r="G29" s="296">
        <f>SUM(G6:G28)</f>
        <v>13878000</v>
      </c>
      <c r="H29" s="296">
        <f t="shared" ref="H29:I29" si="0">SUM(H6:H28)</f>
        <v>14068000</v>
      </c>
      <c r="I29" s="93">
        <f t="shared" si="0"/>
        <v>14213000</v>
      </c>
    </row>
    <row r="30" spans="1:9" ht="12" customHeight="1" thickBot="1">
      <c r="A30" s="75" t="s">
        <v>40</v>
      </c>
      <c r="B30" s="58" t="s">
        <v>2</v>
      </c>
      <c r="C30" s="63" t="s">
        <v>39</v>
      </c>
      <c r="D30" s="83">
        <f>Příjmy!D29</f>
        <v>3000</v>
      </c>
      <c r="E30" s="296">
        <f>Příjmy!K29</f>
        <v>3000</v>
      </c>
      <c r="F30" s="296">
        <f>Příjmy!H29</f>
        <v>28824</v>
      </c>
      <c r="G30" s="296">
        <f>Příjmy!L29</f>
        <v>25000</v>
      </c>
      <c r="H30" s="296">
        <f>Příjmy!M29</f>
        <v>25000</v>
      </c>
      <c r="I30" s="93">
        <f>Příjmy!N29</f>
        <v>25000</v>
      </c>
    </row>
    <row r="31" spans="1:9" ht="12" customHeight="1" thickBot="1">
      <c r="A31" s="75" t="s">
        <v>38</v>
      </c>
      <c r="B31" s="58" t="s">
        <v>2</v>
      </c>
      <c r="C31" s="63" t="s">
        <v>37</v>
      </c>
      <c r="D31" s="83">
        <f>Příjmy!D32</f>
        <v>100000</v>
      </c>
      <c r="E31" s="296">
        <f>Příjmy!K32</f>
        <v>100000</v>
      </c>
      <c r="F31" s="296">
        <f>Příjmy!H32</f>
        <v>0</v>
      </c>
      <c r="G31" s="296">
        <f>Příjmy!L32</f>
        <v>0</v>
      </c>
      <c r="H31" s="296">
        <f>Příjmy!M32</f>
        <v>50000</v>
      </c>
      <c r="I31" s="93">
        <f>Příjmy!N32</f>
        <v>50000</v>
      </c>
    </row>
    <row r="32" spans="1:9" ht="12" customHeight="1" thickBot="1">
      <c r="A32" s="75" t="s">
        <v>36</v>
      </c>
      <c r="B32" s="58" t="s">
        <v>2</v>
      </c>
      <c r="C32" s="63" t="s">
        <v>35</v>
      </c>
      <c r="D32" s="83">
        <f>Příjmy!D34</f>
        <v>200000</v>
      </c>
      <c r="E32" s="296">
        <f>Příjmy!K34</f>
        <v>210000</v>
      </c>
      <c r="F32" s="296">
        <f>Příjmy!H34</f>
        <v>209870.07999999999</v>
      </c>
      <c r="G32" s="296">
        <f>Příjmy!L34</f>
        <v>210000</v>
      </c>
      <c r="H32" s="296">
        <f>Příjmy!M34</f>
        <v>220000</v>
      </c>
      <c r="I32" s="93">
        <f>Příjmy!N34</f>
        <v>235000</v>
      </c>
    </row>
    <row r="33" spans="1:9" ht="12" customHeight="1" thickBot="1">
      <c r="A33" s="75" t="s">
        <v>33</v>
      </c>
      <c r="B33" s="58" t="s">
        <v>2</v>
      </c>
      <c r="C33" s="63" t="s">
        <v>32</v>
      </c>
      <c r="D33" s="83">
        <f>Příjmy!D36</f>
        <v>170000</v>
      </c>
      <c r="E33" s="296">
        <f>Příjmy!K36</f>
        <v>170000</v>
      </c>
      <c r="F33" s="296">
        <f>Příjmy!H36</f>
        <v>142567.39000000001</v>
      </c>
      <c r="G33" s="296">
        <f>Příjmy!L36</f>
        <v>170000</v>
      </c>
      <c r="H33" s="296">
        <f>Příjmy!M36</f>
        <v>170000</v>
      </c>
      <c r="I33" s="93">
        <f>Příjmy!N36</f>
        <v>170000</v>
      </c>
    </row>
    <row r="34" spans="1:9" ht="12" customHeight="1" thickBot="1">
      <c r="A34" s="75" t="s">
        <v>30</v>
      </c>
      <c r="B34" s="58" t="s">
        <v>2</v>
      </c>
      <c r="C34" s="63" t="s">
        <v>29</v>
      </c>
      <c r="D34" s="83">
        <f>Příjmy!D40</f>
        <v>240000</v>
      </c>
      <c r="E34" s="296">
        <f>Příjmy!K40</f>
        <v>255000</v>
      </c>
      <c r="F34" s="296">
        <f>Příjmy!H40</f>
        <v>181496</v>
      </c>
      <c r="G34" s="296">
        <f>Příjmy!L40</f>
        <v>200000</v>
      </c>
      <c r="H34" s="296">
        <f>Příjmy!M40</f>
        <v>230000</v>
      </c>
      <c r="I34" s="93">
        <f>Příjmy!N40</f>
        <v>250000</v>
      </c>
    </row>
    <row r="35" spans="1:9" ht="12" customHeight="1" thickBot="1">
      <c r="A35" s="75" t="s">
        <v>27</v>
      </c>
      <c r="B35" s="58" t="s">
        <v>2</v>
      </c>
      <c r="C35" s="63" t="s">
        <v>26</v>
      </c>
      <c r="D35" s="83">
        <f>Příjmy!D43</f>
        <v>372000</v>
      </c>
      <c r="E35" s="296">
        <f>Příjmy!K43</f>
        <v>380300</v>
      </c>
      <c r="F35" s="296">
        <f>Příjmy!H43</f>
        <v>329998</v>
      </c>
      <c r="G35" s="296">
        <f>Příjmy!L43</f>
        <v>380000</v>
      </c>
      <c r="H35" s="296">
        <f>Příjmy!M43</f>
        <v>380000</v>
      </c>
      <c r="I35" s="93">
        <f>Příjmy!N43</f>
        <v>380000</v>
      </c>
    </row>
    <row r="36" spans="1:9" ht="12" customHeight="1" thickBot="1">
      <c r="A36" s="75" t="s">
        <v>24</v>
      </c>
      <c r="B36" s="58" t="s">
        <v>2</v>
      </c>
      <c r="C36" s="63" t="s">
        <v>23</v>
      </c>
      <c r="D36" s="83">
        <f>Příjmy!D45</f>
        <v>3800000</v>
      </c>
      <c r="E36" s="296">
        <f>Příjmy!K45</f>
        <v>3800000</v>
      </c>
      <c r="F36" s="296">
        <f>Příjmy!H45</f>
        <v>1125000</v>
      </c>
      <c r="G36" s="296">
        <f>Příjmy!L45</f>
        <v>1900000</v>
      </c>
      <c r="H36" s="296">
        <f>Příjmy!M45</f>
        <v>0</v>
      </c>
      <c r="I36" s="93">
        <f>Příjmy!N45</f>
        <v>0</v>
      </c>
    </row>
    <row r="37" spans="1:9" ht="12" customHeight="1" thickBot="1">
      <c r="A37" s="75" t="s">
        <v>22</v>
      </c>
      <c r="B37" s="58" t="s">
        <v>2</v>
      </c>
      <c r="C37" s="63" t="s">
        <v>21</v>
      </c>
      <c r="D37" s="83">
        <f>Příjmy!D47</f>
        <v>15000</v>
      </c>
      <c r="E37" s="296">
        <f>Příjmy!K47</f>
        <v>15000</v>
      </c>
      <c r="F37" s="296">
        <f>Příjmy!H47</f>
        <v>15000</v>
      </c>
      <c r="G37" s="296">
        <f>Příjmy!L47</f>
        <v>15000</v>
      </c>
      <c r="H37" s="296">
        <f>Příjmy!M47</f>
        <v>15000</v>
      </c>
      <c r="I37" s="93">
        <f>Příjmy!N47</f>
        <v>15000</v>
      </c>
    </row>
    <row r="38" spans="1:9" ht="12" customHeight="1" thickBot="1">
      <c r="A38" s="75" t="s">
        <v>20</v>
      </c>
      <c r="B38" s="58" t="s">
        <v>2</v>
      </c>
      <c r="C38" s="63" t="s">
        <v>19</v>
      </c>
      <c r="D38" s="83">
        <f>Příjmy!D50</f>
        <v>172500</v>
      </c>
      <c r="E38" s="296">
        <f>Příjmy!K50</f>
        <v>172500</v>
      </c>
      <c r="F38" s="296">
        <f>Příjmy!H50</f>
        <v>130913.52</v>
      </c>
      <c r="G38" s="296">
        <f>Příjmy!L50</f>
        <v>170000</v>
      </c>
      <c r="H38" s="296">
        <f>Příjmy!M50</f>
        <v>170000</v>
      </c>
      <c r="I38" s="93">
        <f>Příjmy!N50</f>
        <v>170000</v>
      </c>
    </row>
    <row r="39" spans="1:9" ht="12" customHeight="1" thickBot="1">
      <c r="A39" s="75" t="s">
        <v>15</v>
      </c>
      <c r="B39" s="58" t="s">
        <v>2</v>
      </c>
      <c r="C39" s="63" t="s">
        <v>14</v>
      </c>
      <c r="D39" s="83">
        <v>0</v>
      </c>
      <c r="E39" s="296">
        <v>0</v>
      </c>
      <c r="F39" s="296">
        <v>0</v>
      </c>
      <c r="G39" s="296">
        <v>0</v>
      </c>
      <c r="H39" s="296">
        <v>0</v>
      </c>
      <c r="I39" s="93">
        <v>0</v>
      </c>
    </row>
    <row r="40" spans="1:9" ht="12" customHeight="1" thickBot="1">
      <c r="A40" s="75" t="s">
        <v>13</v>
      </c>
      <c r="B40" s="58" t="s">
        <v>2</v>
      </c>
      <c r="C40" s="63" t="s">
        <v>12</v>
      </c>
      <c r="D40" s="83">
        <v>0</v>
      </c>
      <c r="E40" s="296">
        <v>0</v>
      </c>
      <c r="F40" s="296">
        <v>0</v>
      </c>
      <c r="G40" s="296">
        <v>0</v>
      </c>
      <c r="H40" s="296">
        <v>0</v>
      </c>
      <c r="I40" s="93">
        <v>0</v>
      </c>
    </row>
    <row r="41" spans="1:9" ht="12" customHeight="1" thickBot="1">
      <c r="A41" s="75" t="s">
        <v>9</v>
      </c>
      <c r="B41" s="58" t="s">
        <v>2</v>
      </c>
      <c r="C41" s="63" t="s">
        <v>8</v>
      </c>
      <c r="D41" s="83">
        <v>0</v>
      </c>
      <c r="E41" s="296">
        <v>0</v>
      </c>
      <c r="F41" s="296">
        <v>0</v>
      </c>
      <c r="G41" s="296">
        <v>0</v>
      </c>
      <c r="H41" s="296">
        <v>0</v>
      </c>
      <c r="I41" s="93">
        <v>0</v>
      </c>
    </row>
    <row r="42" spans="1:9" ht="12" customHeight="1" thickBot="1">
      <c r="A42" s="75" t="s">
        <v>6</v>
      </c>
      <c r="B42" s="58" t="s">
        <v>2</v>
      </c>
      <c r="C42" s="63" t="s">
        <v>5</v>
      </c>
      <c r="D42" s="83">
        <f>Příjmy!D52</f>
        <v>75000</v>
      </c>
      <c r="E42" s="296">
        <f>Příjmy!K52</f>
        <v>110000</v>
      </c>
      <c r="F42" s="296">
        <f>Příjmy!H52</f>
        <v>108504.27</v>
      </c>
      <c r="G42" s="296">
        <f>Příjmy!L52</f>
        <v>100000</v>
      </c>
      <c r="H42" s="296">
        <f>Příjmy!M52</f>
        <v>100000</v>
      </c>
      <c r="I42" s="93">
        <f>Příjmy!N52</f>
        <v>100000</v>
      </c>
    </row>
    <row r="43" spans="1:9" ht="12" customHeight="1" thickBot="1">
      <c r="A43" s="75" t="s">
        <v>3</v>
      </c>
      <c r="B43" s="58" t="s">
        <v>2</v>
      </c>
      <c r="C43" s="63" t="s">
        <v>1</v>
      </c>
      <c r="D43" s="83">
        <f>Příjmy!D55</f>
        <v>0</v>
      </c>
      <c r="E43" s="296">
        <f>Příjmy!K55</f>
        <v>0</v>
      </c>
      <c r="F43" s="296">
        <f>Příjmy!H55</f>
        <v>1575000</v>
      </c>
      <c r="G43" s="296">
        <f>Příjmy!L55</f>
        <v>0</v>
      </c>
      <c r="H43" s="296">
        <f>Příjmy!M55</f>
        <v>0</v>
      </c>
      <c r="I43" s="93">
        <f>Příjmy!N55</f>
        <v>0</v>
      </c>
    </row>
    <row r="44" spans="1:9" ht="12" customHeight="1" thickBot="1">
      <c r="A44" s="75">
        <v>8123</v>
      </c>
      <c r="B44" s="58" t="s">
        <v>2</v>
      </c>
      <c r="C44" s="63" t="s">
        <v>466</v>
      </c>
      <c r="D44" s="83">
        <f>Příjmy!D57</f>
        <v>0</v>
      </c>
      <c r="E44" s="296">
        <f>Příjmy!E57</f>
        <v>0</v>
      </c>
      <c r="F44" s="296">
        <f>Příjmy!F57</f>
        <v>0</v>
      </c>
      <c r="G44" s="296">
        <f>Příjmy!L58</f>
        <v>2000000</v>
      </c>
      <c r="H44" s="296">
        <f>Příjmy!M58</f>
        <v>0</v>
      </c>
      <c r="I44" s="93">
        <f>Příjmy!N58</f>
        <v>0</v>
      </c>
    </row>
    <row r="45" spans="1:9" ht="12" customHeight="1" thickBot="1">
      <c r="A45" s="321">
        <v>8888</v>
      </c>
      <c r="B45" s="322"/>
      <c r="C45" s="323" t="s">
        <v>477</v>
      </c>
      <c r="D45" s="324"/>
      <c r="E45" s="325">
        <f>Příjmy!E58</f>
        <v>0</v>
      </c>
      <c r="F45" s="325">
        <f>Příjmy!F58</f>
        <v>0</v>
      </c>
      <c r="G45" s="325">
        <f>Příjmy!L59</f>
        <v>0</v>
      </c>
      <c r="H45" s="325">
        <f>Příjmy!M59</f>
        <v>5000000</v>
      </c>
      <c r="I45" s="326">
        <f>Příjmy!N59</f>
        <v>0</v>
      </c>
    </row>
    <row r="46" spans="1:9" s="1" customFormat="1" ht="12" customHeight="1" thickBot="1">
      <c r="A46" s="77" t="s">
        <v>38</v>
      </c>
      <c r="B46" s="65" t="s">
        <v>2</v>
      </c>
      <c r="C46" s="66" t="s">
        <v>37</v>
      </c>
      <c r="D46" s="84">
        <f>(Výdaje!D5)*-1</f>
        <v>-155500</v>
      </c>
      <c r="E46" s="297">
        <f>(Výdaje!K5)*-1</f>
        <v>-155500</v>
      </c>
      <c r="F46" s="297">
        <f>(Výdaje!H5)*-1</f>
        <v>-59069.8</v>
      </c>
      <c r="G46" s="297">
        <f>(Výdaje!L5)*-1</f>
        <v>-157000</v>
      </c>
      <c r="H46" s="297">
        <f>(Výdaje!M5)*-1</f>
        <v>-157000</v>
      </c>
      <c r="I46" s="94">
        <f>(Výdaje!N5)*-1</f>
        <v>-157000</v>
      </c>
    </row>
    <row r="47" spans="1:9" s="1" customFormat="1" ht="12" customHeight="1" thickBot="1">
      <c r="A47" s="78" t="s">
        <v>36</v>
      </c>
      <c r="B47" s="59" t="s">
        <v>2</v>
      </c>
      <c r="C47" s="64" t="s">
        <v>35</v>
      </c>
      <c r="D47" s="85">
        <f>(Výdaje!D9)*-1</f>
        <v>-640000</v>
      </c>
      <c r="E47" s="298">
        <f>(Výdaje!K9)*-1</f>
        <v>-677500</v>
      </c>
      <c r="F47" s="298">
        <f>(Výdaje!H9)*-1</f>
        <v>-667492.37</v>
      </c>
      <c r="G47" s="298">
        <f>(Výdaje!L9)*-1</f>
        <v>-310000</v>
      </c>
      <c r="H47" s="298">
        <f>(Výdaje!M9)*-1</f>
        <v>-1410000</v>
      </c>
      <c r="I47" s="95">
        <f>(Výdaje!N9)*-1</f>
        <v>-435000</v>
      </c>
    </row>
    <row r="48" spans="1:9" s="1" customFormat="1" ht="12" customHeight="1" thickBot="1">
      <c r="A48" s="78" t="s">
        <v>71</v>
      </c>
      <c r="B48" s="59" t="s">
        <v>2</v>
      </c>
      <c r="C48" s="64" t="s">
        <v>74</v>
      </c>
      <c r="D48" s="85">
        <f>(Výdaje!D11)*-1</f>
        <v>-1600</v>
      </c>
      <c r="E48" s="298">
        <f>(Výdaje!K11)*-1</f>
        <v>-1600</v>
      </c>
      <c r="F48" s="298">
        <f>(Výdaje!H11)*-1</f>
        <v>0</v>
      </c>
      <c r="G48" s="298">
        <f>(Výdaje!L11)*-1</f>
        <v>-2000</v>
      </c>
      <c r="H48" s="298">
        <f>(Výdaje!M11)*-1</f>
        <v>-2000</v>
      </c>
      <c r="I48" s="95">
        <f>(Výdaje!N11)*-1</f>
        <v>-2000</v>
      </c>
    </row>
    <row r="49" spans="1:9" s="1" customFormat="1" ht="12" customHeight="1" thickBot="1">
      <c r="A49" s="78" t="s">
        <v>10</v>
      </c>
      <c r="B49" s="59" t="s">
        <v>2</v>
      </c>
      <c r="C49" s="64" t="s">
        <v>77</v>
      </c>
      <c r="D49" s="85">
        <f>(Výdaje!D13)*-1</f>
        <v>-635000</v>
      </c>
      <c r="E49" s="298">
        <f>(Výdaje!K13)*-1</f>
        <v>0</v>
      </c>
      <c r="F49" s="298">
        <f>(Výdaje!H13)*-1</f>
        <v>0</v>
      </c>
      <c r="G49" s="298">
        <f>(Výdaje!L13)*-1</f>
        <v>0</v>
      </c>
      <c r="H49" s="298">
        <f>(Výdaje!M13)*-1</f>
        <v>0</v>
      </c>
      <c r="I49" s="95">
        <f>(Výdaje!N13)*-1</f>
        <v>0</v>
      </c>
    </row>
    <row r="50" spans="1:9" s="1" customFormat="1" ht="12" customHeight="1" thickBot="1">
      <c r="A50" s="78" t="s">
        <v>33</v>
      </c>
      <c r="B50" s="59" t="s">
        <v>2</v>
      </c>
      <c r="C50" s="64" t="s">
        <v>32</v>
      </c>
      <c r="D50" s="85">
        <f>(Výdaje!D22)*-1</f>
        <v>-737000</v>
      </c>
      <c r="E50" s="298">
        <f>(Výdaje!K22)*-1</f>
        <v>-987000</v>
      </c>
      <c r="F50" s="298">
        <f>(Výdaje!H22)*-1</f>
        <v>-631511.71</v>
      </c>
      <c r="G50" s="298">
        <f>(Výdaje!L22)*-1</f>
        <v>-730000</v>
      </c>
      <c r="H50" s="298">
        <f>(Výdaje!M22)*-1</f>
        <v>-800000</v>
      </c>
      <c r="I50" s="95">
        <f>(Výdaje!N22)*-1</f>
        <v>-800000</v>
      </c>
    </row>
    <row r="51" spans="1:9" s="1" customFormat="1" ht="12" customHeight="1" thickBot="1">
      <c r="A51" s="78" t="s">
        <v>86</v>
      </c>
      <c r="B51" s="59" t="s">
        <v>2</v>
      </c>
      <c r="C51" s="64" t="s">
        <v>89</v>
      </c>
      <c r="D51" s="85">
        <f>(Výdaje!D24)*-1</f>
        <v>-1720000</v>
      </c>
      <c r="E51" s="298">
        <f>(Výdaje!K24)*-1</f>
        <v>-1725200</v>
      </c>
      <c r="F51" s="298">
        <f>(Výdaje!H24)*-1</f>
        <v>-1725200</v>
      </c>
      <c r="G51" s="298">
        <f>(Výdaje!L24)*-1</f>
        <v>-1730000</v>
      </c>
      <c r="H51" s="298">
        <f>(Výdaje!M24)*-1</f>
        <v>-1770000</v>
      </c>
      <c r="I51" s="95">
        <f>(Výdaje!N24)*-1</f>
        <v>-1800000</v>
      </c>
    </row>
    <row r="52" spans="1:9" s="1" customFormat="1" ht="12" customHeight="1" thickBot="1">
      <c r="A52" s="78">
        <v>3119</v>
      </c>
      <c r="B52" s="59"/>
      <c r="C52" s="64" t="s">
        <v>243</v>
      </c>
      <c r="D52" s="85">
        <f>(Výdaje!D26)*-1</f>
        <v>-12000</v>
      </c>
      <c r="E52" s="298">
        <f>(Výdaje!K28)*-1</f>
        <v>-22000</v>
      </c>
      <c r="F52" s="298">
        <f>(Výdaje!H28)*-1</f>
        <v>-14116</v>
      </c>
      <c r="G52" s="298">
        <f>(Výdaje!L28)*-1</f>
        <v>-15000</v>
      </c>
      <c r="H52" s="298">
        <f>(Výdaje!M28)*-1</f>
        <v>-15000</v>
      </c>
      <c r="I52" s="95">
        <f>(Výdaje!N28)*-1</f>
        <v>-15000</v>
      </c>
    </row>
    <row r="53" spans="1:9" s="1" customFormat="1" ht="12" customHeight="1" thickBot="1">
      <c r="A53" s="78" t="s">
        <v>90</v>
      </c>
      <c r="B53" s="59" t="s">
        <v>2</v>
      </c>
      <c r="C53" s="64" t="s">
        <v>93</v>
      </c>
      <c r="D53" s="85">
        <f>(Výdaje!D30)*-1</f>
        <v>-20000</v>
      </c>
      <c r="E53" s="298">
        <f>(Výdaje!K30)*-1</f>
        <v>-20000</v>
      </c>
      <c r="F53" s="298">
        <f>(Výdaje!H30)*-1</f>
        <v>-19481.71</v>
      </c>
      <c r="G53" s="298">
        <f>(Výdaje!L30)*-1</f>
        <v>-22000</v>
      </c>
      <c r="H53" s="298">
        <f>(Výdaje!M30)*-1</f>
        <v>-22500</v>
      </c>
      <c r="I53" s="95">
        <f>(Výdaje!N30)*-1</f>
        <v>-23000</v>
      </c>
    </row>
    <row r="54" spans="1:9" s="1" customFormat="1" ht="12" customHeight="1" thickBot="1">
      <c r="A54" s="78" t="s">
        <v>30</v>
      </c>
      <c r="B54" s="59" t="s">
        <v>2</v>
      </c>
      <c r="C54" s="64" t="s">
        <v>29</v>
      </c>
      <c r="D54" s="85">
        <f>(Výdaje!D42)*-1</f>
        <v>-2716000</v>
      </c>
      <c r="E54" s="298">
        <f>(Výdaje!K42)*-1</f>
        <v>-3302000</v>
      </c>
      <c r="F54" s="298">
        <f>(Výdaje!H42)*-1</f>
        <v>-2647712.19</v>
      </c>
      <c r="G54" s="298">
        <f>(Výdaje!L42)*-1</f>
        <v>-4607000</v>
      </c>
      <c r="H54" s="298">
        <f>(Výdaje!M42)*-1</f>
        <v>-8340500</v>
      </c>
      <c r="I54" s="95">
        <f>(Výdaje!N42)*-1</f>
        <v>-4375000</v>
      </c>
    </row>
    <row r="55" spans="1:9" s="1" customFormat="1" ht="12" customHeight="1" thickBot="1">
      <c r="A55" s="78" t="s">
        <v>98</v>
      </c>
      <c r="B55" s="59" t="s">
        <v>2</v>
      </c>
      <c r="C55" s="64" t="s">
        <v>101</v>
      </c>
      <c r="D55" s="85">
        <f>(Výdaje!D44)*-1</f>
        <v>-40000</v>
      </c>
      <c r="E55" s="298">
        <f>(Výdaje!K44)*-1</f>
        <v>-40000</v>
      </c>
      <c r="F55" s="298">
        <f>(Výdaje!H44)*-1</f>
        <v>-27845</v>
      </c>
      <c r="G55" s="298">
        <f>(Výdaje!L44)*-1</f>
        <v>-40000</v>
      </c>
      <c r="H55" s="298">
        <f>(Výdaje!M44)*-1</f>
        <v>-40000</v>
      </c>
      <c r="I55" s="95">
        <f>(Výdaje!N44)*-1</f>
        <v>-40000</v>
      </c>
    </row>
    <row r="56" spans="1:9" s="1" customFormat="1" ht="12" customHeight="1" thickBot="1">
      <c r="A56" s="78" t="s">
        <v>102</v>
      </c>
      <c r="B56" s="59" t="s">
        <v>2</v>
      </c>
      <c r="C56" s="64" t="s">
        <v>105</v>
      </c>
      <c r="D56" s="85">
        <f>(Výdaje!D46)*-1</f>
        <v>-142000</v>
      </c>
      <c r="E56" s="298">
        <f>(Výdaje!K46)*-1</f>
        <v>-142000</v>
      </c>
      <c r="F56" s="298">
        <f>(Výdaje!H46)*-1</f>
        <v>-63000</v>
      </c>
      <c r="G56" s="298">
        <f>(Výdaje!L46)*-1</f>
        <v>-196000</v>
      </c>
      <c r="H56" s="298">
        <f>(Výdaje!M46)*-1</f>
        <v>-170000</v>
      </c>
      <c r="I56" s="95">
        <f>(Výdaje!N46)*-1</f>
        <v>-170000</v>
      </c>
    </row>
    <row r="57" spans="1:9" s="1" customFormat="1" ht="12" customHeight="1" thickBot="1">
      <c r="A57" s="78" t="s">
        <v>106</v>
      </c>
      <c r="B57" s="59" t="s">
        <v>2</v>
      </c>
      <c r="C57" s="64" t="s">
        <v>109</v>
      </c>
      <c r="D57" s="85">
        <f>(Výdaje!D48)*-1</f>
        <v>-2000</v>
      </c>
      <c r="E57" s="298">
        <f>(Výdaje!K48)*-1</f>
        <v>-2000</v>
      </c>
      <c r="F57" s="298">
        <f>(Výdaje!H48)*-1</f>
        <v>0</v>
      </c>
      <c r="G57" s="298">
        <f>(Výdaje!L48)*-1</f>
        <v>-2000</v>
      </c>
      <c r="H57" s="298">
        <f>(Výdaje!M48)*-1</f>
        <v>-2000</v>
      </c>
      <c r="I57" s="95">
        <f>(Výdaje!N48)*-1</f>
        <v>-2000</v>
      </c>
    </row>
    <row r="58" spans="1:9" s="1" customFormat="1" ht="12" customHeight="1" thickBot="1">
      <c r="A58" s="78" t="s">
        <v>27</v>
      </c>
      <c r="B58" s="59" t="s">
        <v>2</v>
      </c>
      <c r="C58" s="64" t="s">
        <v>26</v>
      </c>
      <c r="D58" s="85">
        <f>(Výdaje!D54)*-1</f>
        <v>-54000</v>
      </c>
      <c r="E58" s="298">
        <f>(Výdaje!K54)*-1</f>
        <v>-63000</v>
      </c>
      <c r="F58" s="298">
        <f>(Výdaje!H54)*-1</f>
        <v>-38402.509999999995</v>
      </c>
      <c r="G58" s="298">
        <f>(Výdaje!L54)*-1</f>
        <v>-84000</v>
      </c>
      <c r="H58" s="298">
        <f>(Výdaje!M54)*-1</f>
        <v>-84000</v>
      </c>
      <c r="I58" s="95">
        <f>(Výdaje!N54)*-1</f>
        <v>-84000</v>
      </c>
    </row>
    <row r="59" spans="1:9" s="1" customFormat="1" ht="12" customHeight="1" thickBot="1">
      <c r="A59" s="78" t="s">
        <v>110</v>
      </c>
      <c r="B59" s="59" t="s">
        <v>2</v>
      </c>
      <c r="C59" s="64" t="s">
        <v>111</v>
      </c>
      <c r="D59" s="85">
        <f>(Výdaje!D58)*-1</f>
        <v>-690000</v>
      </c>
      <c r="E59" s="298">
        <f>(Výdaje!K58)*-1</f>
        <v>-690000</v>
      </c>
      <c r="F59" s="298">
        <f>(Výdaje!H58)*-1</f>
        <v>-485742.94</v>
      </c>
      <c r="G59" s="298">
        <f>(Výdaje!L58)*-1</f>
        <v>-380000</v>
      </c>
      <c r="H59" s="298">
        <f>(Výdaje!M58)*-1</f>
        <v>-400000</v>
      </c>
      <c r="I59" s="95">
        <f>(Výdaje!N58)*-1</f>
        <v>-400000</v>
      </c>
    </row>
    <row r="60" spans="1:9" s="1" customFormat="1" ht="12" customHeight="1" thickBot="1">
      <c r="A60" s="78" t="s">
        <v>112</v>
      </c>
      <c r="B60" s="59" t="s">
        <v>2</v>
      </c>
      <c r="C60" s="64" t="s">
        <v>115</v>
      </c>
      <c r="D60" s="85">
        <f>(Výdaje!D60)*-1</f>
        <v>-20000</v>
      </c>
      <c r="E60" s="298">
        <f>(Výdaje!K60)*-1</f>
        <v>-20000</v>
      </c>
      <c r="F60" s="298">
        <f>(Výdaje!H60)*-1</f>
        <v>-20000</v>
      </c>
      <c r="G60" s="298">
        <f>(Výdaje!L60)*-1</f>
        <v>-20000</v>
      </c>
      <c r="H60" s="298">
        <f>(Výdaje!M60)*-1</f>
        <v>-20000</v>
      </c>
      <c r="I60" s="95">
        <f>(Výdaje!N60)*-1</f>
        <v>-20000</v>
      </c>
    </row>
    <row r="61" spans="1:9" s="1" customFormat="1" ht="12" customHeight="1" thickBot="1">
      <c r="A61" s="78" t="s">
        <v>24</v>
      </c>
      <c r="B61" s="59" t="s">
        <v>2</v>
      </c>
      <c r="C61" s="64" t="s">
        <v>23</v>
      </c>
      <c r="D61" s="85">
        <f>(Výdaje!D62)*-1</f>
        <v>-4600000</v>
      </c>
      <c r="E61" s="298">
        <f>(Výdaje!K62)*-1</f>
        <v>-4600000</v>
      </c>
      <c r="F61" s="298">
        <f>(Výdaje!H62)*-1</f>
        <v>-1140961.1599999999</v>
      </c>
      <c r="G61" s="298">
        <f>(Výdaje!L62)*-1</f>
        <v>-3400000</v>
      </c>
      <c r="H61" s="298">
        <f>(Výdaje!M62)*-1</f>
        <v>0</v>
      </c>
      <c r="I61" s="95">
        <f>(Výdaje!N62)*-1</f>
        <v>0</v>
      </c>
    </row>
    <row r="62" spans="1:9" s="1" customFormat="1" ht="12" customHeight="1" thickBot="1">
      <c r="A62" s="78" t="s">
        <v>22</v>
      </c>
      <c r="B62" s="59" t="s">
        <v>2</v>
      </c>
      <c r="C62" s="64" t="s">
        <v>21</v>
      </c>
      <c r="D62" s="85">
        <f>(Výdaje!D72)*-1</f>
        <v>-1195000</v>
      </c>
      <c r="E62" s="298">
        <f>(Výdaje!K72)*-1</f>
        <v>-1310000</v>
      </c>
      <c r="F62" s="298">
        <f>(Výdaje!H72)*-1</f>
        <v>-956544.15999999992</v>
      </c>
      <c r="G62" s="298">
        <f>(Výdaje!L72)*-1</f>
        <v>-1775000</v>
      </c>
      <c r="H62" s="298">
        <f>(Výdaje!M72)*-1</f>
        <v>-1442000</v>
      </c>
      <c r="I62" s="95">
        <f>(Výdaje!N72)*-1</f>
        <v>-1515000</v>
      </c>
    </row>
    <row r="63" spans="1:9" s="1" customFormat="1" ht="12" customHeight="1" thickBot="1">
      <c r="A63" s="78" t="s">
        <v>122</v>
      </c>
      <c r="B63" s="59" t="s">
        <v>2</v>
      </c>
      <c r="C63" s="64" t="s">
        <v>123</v>
      </c>
      <c r="D63" s="85">
        <f>(Výdaje!D74)*-1</f>
        <v>-60000</v>
      </c>
      <c r="E63" s="298">
        <f>(Výdaje!K74)*-1</f>
        <v>-60000</v>
      </c>
      <c r="F63" s="298">
        <f>(Výdaje!H74)*-1</f>
        <v>-51214.46</v>
      </c>
      <c r="G63" s="298">
        <f>(Výdaje!L74)*-1</f>
        <v>-55000</v>
      </c>
      <c r="H63" s="298">
        <f>(Výdaje!M74)*-1</f>
        <v>-65000</v>
      </c>
      <c r="I63" s="95">
        <f>(Výdaje!N74)*-1</f>
        <v>-70000</v>
      </c>
    </row>
    <row r="64" spans="1:9" s="1" customFormat="1" ht="12" customHeight="1" thickBot="1">
      <c r="A64" s="78" t="s">
        <v>124</v>
      </c>
      <c r="B64" s="59" t="s">
        <v>2</v>
      </c>
      <c r="C64" s="64" t="s">
        <v>125</v>
      </c>
      <c r="D64" s="85">
        <f>(Výdaje!D76)*-1</f>
        <v>-1100000</v>
      </c>
      <c r="E64" s="298">
        <f>(Výdaje!K76)*-1</f>
        <v>-1100000</v>
      </c>
      <c r="F64" s="298">
        <f>(Výdaje!H76)*-1</f>
        <v>-760206.57</v>
      </c>
      <c r="G64" s="298">
        <f>(Výdaje!L76)*-1</f>
        <v>-1200000</v>
      </c>
      <c r="H64" s="298">
        <f>(Výdaje!M76)*-1</f>
        <v>-1300000</v>
      </c>
      <c r="I64" s="95">
        <f>(Výdaje!N76)*-1</f>
        <v>-1350000</v>
      </c>
    </row>
    <row r="65" spans="1:9" s="1" customFormat="1" ht="12" customHeight="1" thickBot="1">
      <c r="A65" s="78" t="s">
        <v>20</v>
      </c>
      <c r="B65" s="59" t="s">
        <v>2</v>
      </c>
      <c r="C65" s="64" t="s">
        <v>19</v>
      </c>
      <c r="D65" s="85">
        <f>(Výdaje!D78)*-1</f>
        <v>-700000</v>
      </c>
      <c r="E65" s="298">
        <f>(Výdaje!K78)*-1</f>
        <v>-700000</v>
      </c>
      <c r="F65" s="298">
        <f>(Výdaje!H78)*-1</f>
        <v>-624601.1</v>
      </c>
      <c r="G65" s="298">
        <f>(Výdaje!L78)*-1</f>
        <v>-750000</v>
      </c>
      <c r="H65" s="298">
        <f>(Výdaje!M78)*-1</f>
        <v>-800000</v>
      </c>
      <c r="I65" s="95">
        <f>(Výdaje!N78)*-1</f>
        <v>-800000</v>
      </c>
    </row>
    <row r="66" spans="1:9" s="1" customFormat="1" ht="12" customHeight="1" thickBot="1">
      <c r="A66" s="78" t="s">
        <v>15</v>
      </c>
      <c r="B66" s="59" t="s">
        <v>2</v>
      </c>
      <c r="C66" s="64" t="s">
        <v>14</v>
      </c>
      <c r="D66" s="85">
        <f>(Výdaje!D83)*-1</f>
        <v>-166000</v>
      </c>
      <c r="E66" s="298">
        <f>(Výdaje!K83)*-1</f>
        <v>-146000</v>
      </c>
      <c r="F66" s="298">
        <f>(Výdaje!H83)*-1</f>
        <v>-94525.14</v>
      </c>
      <c r="G66" s="298">
        <f>(Výdaje!L83)*-1</f>
        <v>-135000</v>
      </c>
      <c r="H66" s="298">
        <f>(Výdaje!M83)*-1</f>
        <v>-135000</v>
      </c>
      <c r="I66" s="95">
        <f>(Výdaje!N83)*-1</f>
        <v>-135000</v>
      </c>
    </row>
    <row r="67" spans="1:9" s="1" customFormat="1" ht="12" customHeight="1" thickBot="1">
      <c r="A67" s="78" t="s">
        <v>126</v>
      </c>
      <c r="B67" s="59" t="s">
        <v>2</v>
      </c>
      <c r="C67" s="64" t="s">
        <v>127</v>
      </c>
      <c r="D67" s="85">
        <f>(Výdaje!D85)*-1</f>
        <v>-10000</v>
      </c>
      <c r="E67" s="298">
        <f>(Výdaje!K85)*-1</f>
        <v>-10000</v>
      </c>
      <c r="F67" s="298">
        <f>(Výdaje!H85)*-1</f>
        <v>0</v>
      </c>
      <c r="G67" s="298">
        <f>(Výdaje!L85)*-1</f>
        <v>-10000</v>
      </c>
      <c r="H67" s="298">
        <f>(Výdaje!M85)*-1</f>
        <v>-10000</v>
      </c>
      <c r="I67" s="95">
        <f>(Výdaje!N85)*-1</f>
        <v>-10000</v>
      </c>
    </row>
    <row r="68" spans="1:9" s="1" customFormat="1" ht="12" customHeight="1" thickBot="1">
      <c r="A68" s="78">
        <v>5213</v>
      </c>
      <c r="B68" s="59" t="s">
        <v>2</v>
      </c>
      <c r="C68" s="64" t="s">
        <v>166</v>
      </c>
      <c r="D68" s="85">
        <f>(Výdaje!D88)*-1</f>
        <v>-10000</v>
      </c>
      <c r="E68" s="298">
        <f>(Výdaje!K88)*-1</f>
        <v>-10000</v>
      </c>
      <c r="F68" s="298">
        <f>(Výdaje!H88)*-1</f>
        <v>0</v>
      </c>
      <c r="G68" s="298">
        <f>(Výdaje!L88)*-1</f>
        <v>-10000</v>
      </c>
      <c r="H68" s="298">
        <f>(Výdaje!M88)*-1</f>
        <v>-10000</v>
      </c>
      <c r="I68" s="95">
        <f>(Výdaje!N88)*-1</f>
        <v>-10000</v>
      </c>
    </row>
    <row r="69" spans="1:9" s="1" customFormat="1" ht="12" customHeight="1" thickBot="1">
      <c r="A69" s="78" t="s">
        <v>132</v>
      </c>
      <c r="B69" s="59" t="s">
        <v>2</v>
      </c>
      <c r="C69" s="64" t="s">
        <v>133</v>
      </c>
      <c r="D69" s="85">
        <f>(Výdaje!D95)*-1</f>
        <v>-173000</v>
      </c>
      <c r="E69" s="298">
        <f>(Výdaje!K95)*-1</f>
        <v>-173000</v>
      </c>
      <c r="F69" s="298">
        <f>(Výdaje!H95)*-1</f>
        <v>-52794.3</v>
      </c>
      <c r="G69" s="298">
        <f>(Výdaje!L95)*-1</f>
        <v>-180000</v>
      </c>
      <c r="H69" s="298">
        <f>(Výdaje!M95)*-1</f>
        <v>-170000</v>
      </c>
      <c r="I69" s="95">
        <f>(Výdaje!N95)*-1</f>
        <v>-170000</v>
      </c>
    </row>
    <row r="70" spans="1:9" s="1" customFormat="1" ht="12" customHeight="1" thickBot="1">
      <c r="A70" s="78" t="s">
        <v>134</v>
      </c>
      <c r="B70" s="59" t="s">
        <v>2</v>
      </c>
      <c r="C70" s="64" t="s">
        <v>137</v>
      </c>
      <c r="D70" s="85">
        <f>(Výdaje!D97)*-1</f>
        <v>-900000</v>
      </c>
      <c r="E70" s="298">
        <f>(Výdaje!K97)*-1</f>
        <v>-1000000</v>
      </c>
      <c r="F70" s="298">
        <f>(Výdaje!H97)*-1</f>
        <v>-736514</v>
      </c>
      <c r="G70" s="298">
        <f>(Výdaje!L97)*-1</f>
        <v>-1000000</v>
      </c>
      <c r="H70" s="298">
        <f>(Výdaje!M97)*-1</f>
        <v>-1000000</v>
      </c>
      <c r="I70" s="95">
        <f>(Výdaje!N97)*-1</f>
        <v>-1000000</v>
      </c>
    </row>
    <row r="71" spans="1:9" s="1" customFormat="1" ht="12" customHeight="1" thickBot="1">
      <c r="A71" s="78">
        <v>6118</v>
      </c>
      <c r="B71" s="59" t="s">
        <v>2</v>
      </c>
      <c r="C71" s="64" t="s">
        <v>139</v>
      </c>
      <c r="D71" s="85">
        <f>(Výdaje!D99)*-1</f>
        <v>-50000</v>
      </c>
      <c r="E71" s="298">
        <f>(Výdaje!K99)*-1</f>
        <v>-11800</v>
      </c>
      <c r="F71" s="298">
        <f>(Výdaje!H99)*-1</f>
        <v>-11800</v>
      </c>
      <c r="G71" s="298">
        <f>(Výdaje!L99)*-1</f>
        <v>-50000</v>
      </c>
      <c r="H71" s="298">
        <f>(Výdaje!M99)*-1</f>
        <v>-50000</v>
      </c>
      <c r="I71" s="95">
        <f>(Výdaje!N99)*-1</f>
        <v>0</v>
      </c>
    </row>
    <row r="72" spans="1:9" s="1" customFormat="1" ht="12" customHeight="1" thickBot="1">
      <c r="A72" s="78">
        <v>6117</v>
      </c>
      <c r="B72" s="59"/>
      <c r="C72" s="64" t="s">
        <v>295</v>
      </c>
      <c r="D72" s="85">
        <f>(Výdaje!D104)*-1</f>
        <v>0</v>
      </c>
      <c r="E72" s="298">
        <f>(Výdaje!K104)*-1</f>
        <v>-32000</v>
      </c>
      <c r="F72" s="298">
        <f>(Výdaje!H104)*-1</f>
        <v>-25936.959999999999</v>
      </c>
      <c r="G72" s="298">
        <f>(Výdaje!L104)*-1</f>
        <v>0</v>
      </c>
      <c r="H72" s="298">
        <f>(Výdaje!M104)*-1</f>
        <v>0</v>
      </c>
      <c r="I72" s="95">
        <f>(Výdaje!N104)*-1</f>
        <v>0</v>
      </c>
    </row>
    <row r="73" spans="1:9" s="1" customFormat="1" ht="12" customHeight="1" thickBot="1">
      <c r="A73" s="78" t="s">
        <v>13</v>
      </c>
      <c r="B73" s="59" t="s">
        <v>2</v>
      </c>
      <c r="C73" s="64" t="s">
        <v>12</v>
      </c>
      <c r="D73" s="85">
        <f>(Výdaje!D123)*-1</f>
        <v>-1850000</v>
      </c>
      <c r="E73" s="298">
        <f>(Výdaje!K123)*-1</f>
        <v>-2377000</v>
      </c>
      <c r="F73" s="298">
        <f>(Výdaje!H123)*-1</f>
        <v>-1927543.4100000001</v>
      </c>
      <c r="G73" s="298">
        <f>(Výdaje!L123)*-1</f>
        <v>-2182000</v>
      </c>
      <c r="H73" s="298">
        <f>(Výdaje!M123)*-1</f>
        <v>-2207000</v>
      </c>
      <c r="I73" s="95">
        <f>(Výdaje!N123)*-1</f>
        <v>-2219000</v>
      </c>
    </row>
    <row r="74" spans="1:9" s="1" customFormat="1" ht="12" customHeight="1" thickBot="1">
      <c r="A74" s="79" t="s">
        <v>6</v>
      </c>
      <c r="B74" s="70" t="s">
        <v>2</v>
      </c>
      <c r="C74" s="71" t="s">
        <v>5</v>
      </c>
      <c r="D74" s="86">
        <f>(Výdaje!D125)*-1</f>
        <v>-6000</v>
      </c>
      <c r="E74" s="299">
        <f>(Výdaje!K125)*-1</f>
        <v>-6000</v>
      </c>
      <c r="F74" s="299">
        <f>(Výdaje!H125)*-1</f>
        <v>-4794</v>
      </c>
      <c r="G74" s="299">
        <f>(Výdaje!L125)*-1</f>
        <v>-6000</v>
      </c>
      <c r="H74" s="299">
        <f>(Výdaje!M125)*-1</f>
        <v>-6000</v>
      </c>
      <c r="I74" s="96">
        <f>(Výdaje!N125)*-1</f>
        <v>-6000</v>
      </c>
    </row>
    <row r="75" spans="1:9" s="1" customFormat="1" ht="12" customHeight="1" thickBot="1">
      <c r="A75" s="290" t="s">
        <v>3</v>
      </c>
      <c r="B75" s="80" t="s">
        <v>2</v>
      </c>
      <c r="C75" s="81" t="s">
        <v>1</v>
      </c>
      <c r="D75" s="87">
        <f>(Výdaje!D128)*-1</f>
        <v>0</v>
      </c>
      <c r="E75" s="300">
        <f>(Výdaje!K128)*-1</f>
        <v>0</v>
      </c>
      <c r="F75" s="300">
        <f>(Výdaje!H128)*-1</f>
        <v>-1575000</v>
      </c>
      <c r="G75" s="300">
        <f>(Výdaje!L128)*-1</f>
        <v>0</v>
      </c>
      <c r="H75" s="300">
        <f>(Výdaje!M128)*-1</f>
        <v>0</v>
      </c>
      <c r="I75" s="301">
        <f>(Výdaje!N128)*-1</f>
        <v>0</v>
      </c>
    </row>
    <row r="76" spans="1:9" ht="10.8" thickBot="1">
      <c r="D76" s="88"/>
      <c r="E76" s="88"/>
      <c r="F76" s="88"/>
      <c r="G76" s="88"/>
      <c r="H76" s="88"/>
      <c r="I76" s="88"/>
    </row>
    <row r="77" spans="1:9" s="1" customFormat="1" ht="12" customHeight="1">
      <c r="A77" s="50" t="s">
        <v>164</v>
      </c>
      <c r="B77" s="51"/>
      <c r="C77" s="52"/>
      <c r="D77" s="89">
        <f t="shared" ref="D77:I77" si="1">SUM(D29:D44)</f>
        <v>18405100</v>
      </c>
      <c r="E77" s="302">
        <f>SUM(E29:E45)</f>
        <v>19383600</v>
      </c>
      <c r="F77" s="303">
        <f t="shared" si="1"/>
        <v>15550664.200000003</v>
      </c>
      <c r="G77" s="303">
        <f>SUM(G29:G45)</f>
        <v>19048000</v>
      </c>
      <c r="H77" s="304">
        <f>SUM(H29:H45)</f>
        <v>20428000</v>
      </c>
      <c r="I77" s="97">
        <f>SUM(I29:I45)</f>
        <v>15608000</v>
      </c>
    </row>
    <row r="78" spans="1:9" s="1" customFormat="1" ht="12" customHeight="1">
      <c r="A78" s="53" t="s">
        <v>168</v>
      </c>
      <c r="B78" s="16"/>
      <c r="C78" s="17"/>
      <c r="D78" s="90">
        <f t="shared" ref="D78:I78" si="2">SUM(D46:D75)</f>
        <v>-18405100</v>
      </c>
      <c r="E78" s="305">
        <f t="shared" si="2"/>
        <v>-19383600</v>
      </c>
      <c r="F78" s="306">
        <f t="shared" si="2"/>
        <v>-14362009.490000002</v>
      </c>
      <c r="G78" s="306">
        <f t="shared" si="2"/>
        <v>-19048000</v>
      </c>
      <c r="H78" s="307">
        <f t="shared" si="2"/>
        <v>-20428000</v>
      </c>
      <c r="I78" s="98">
        <f t="shared" si="2"/>
        <v>-15608000</v>
      </c>
    </row>
    <row r="79" spans="1:9" s="1" customFormat="1" ht="12" customHeight="1" thickBot="1">
      <c r="A79" s="54" t="s">
        <v>169</v>
      </c>
      <c r="B79" s="55"/>
      <c r="C79" s="56"/>
      <c r="D79" s="91">
        <f t="shared" ref="D79" si="3">D77+D78</f>
        <v>0</v>
      </c>
      <c r="E79" s="308">
        <f t="shared" ref="E79" si="4">E77+E78</f>
        <v>0</v>
      </c>
      <c r="F79" s="309">
        <f t="shared" ref="F79" si="5">F77+F78</f>
        <v>1188654.7100000009</v>
      </c>
      <c r="G79" s="309">
        <f t="shared" ref="G79" si="6">G77+G78</f>
        <v>0</v>
      </c>
      <c r="H79" s="310">
        <f t="shared" ref="H79" si="7">H77+H78</f>
        <v>0</v>
      </c>
      <c r="I79" s="292">
        <f t="shared" ref="I79" si="8">I77+I78</f>
        <v>0</v>
      </c>
    </row>
    <row r="81" spans="4:4">
      <c r="D81" s="88"/>
    </row>
  </sheetData>
  <autoFilter ref="A5:I5" xr:uid="{00000000-0009-0000-0000-000001000000}"/>
  <pageMargins left="0.70866141732283472" right="0.70866141732283472" top="0.59055118110236227" bottom="0.59055118110236227" header="0.31496062992125984" footer="0.31496062992125984"/>
  <pageSetup paperSize="9" scale="5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/>
  </sheetPr>
  <dimension ref="A1:S81"/>
  <sheetViews>
    <sheetView showGridLines="0" zoomScale="80" zoomScaleNormal="80" workbookViewId="0">
      <pane xSplit="4" ySplit="2" topLeftCell="K37" activePane="bottomRight" state="frozen"/>
      <selection pane="topRight" activeCell="G1" sqref="G1"/>
      <selection pane="bottomLeft" activeCell="A3" sqref="A3"/>
      <selection pane="bottomRight" activeCell="L65" sqref="L65"/>
    </sheetView>
  </sheetViews>
  <sheetFormatPr defaultColWidth="9.109375" defaultRowHeight="10.199999999999999"/>
  <cols>
    <col min="1" max="1" width="8.109375" style="3" customWidth="1"/>
    <col min="2" max="2" width="8.5546875" style="3" customWidth="1"/>
    <col min="3" max="3" width="65.88671875" style="3" customWidth="1"/>
    <col min="4" max="4" width="20.77734375" style="3" hidden="1" customWidth="1"/>
    <col min="5" max="5" width="15.44140625" style="3" hidden="1" customWidth="1"/>
    <col min="6" max="6" width="24.33203125" style="3" hidden="1" customWidth="1"/>
    <col min="7" max="7" width="13" style="3" hidden="1" customWidth="1"/>
    <col min="8" max="8" width="24.33203125" style="3" hidden="1" customWidth="1"/>
    <col min="9" max="10" width="13" style="3" hidden="1" customWidth="1"/>
    <col min="11" max="14" width="24.33203125" style="120" customWidth="1"/>
    <col min="15" max="15" width="25.5546875" style="3" hidden="1" customWidth="1"/>
    <col min="16" max="16" width="10.44140625" style="3" bestFit="1" customWidth="1"/>
    <col min="17" max="17" width="9.109375" style="3"/>
    <col min="18" max="18" width="10.44140625" style="3" bestFit="1" customWidth="1"/>
    <col min="19" max="16384" width="9.109375" style="3"/>
  </cols>
  <sheetData>
    <row r="1" spans="1:19" ht="20.100000000000001" customHeight="1" thickBot="1">
      <c r="A1" s="4" t="s">
        <v>59</v>
      </c>
      <c r="B1" s="4"/>
      <c r="C1" s="4"/>
      <c r="D1" s="4"/>
      <c r="E1" s="72"/>
      <c r="F1" s="4"/>
      <c r="G1" s="4"/>
      <c r="H1" s="4"/>
      <c r="I1" s="4"/>
      <c r="J1" s="4"/>
      <c r="K1" s="119"/>
      <c r="L1" s="286"/>
      <c r="M1" s="286"/>
      <c r="N1" s="286"/>
    </row>
    <row r="2" spans="1:19" ht="26.1" customHeight="1">
      <c r="A2" s="12" t="s">
        <v>18</v>
      </c>
      <c r="B2" s="12" t="s">
        <v>17</v>
      </c>
      <c r="C2" s="12" t="s">
        <v>16</v>
      </c>
      <c r="D2" s="12" t="s">
        <v>288</v>
      </c>
      <c r="E2" s="12" t="s">
        <v>289</v>
      </c>
      <c r="F2" s="12" t="s">
        <v>290</v>
      </c>
      <c r="G2" s="109" t="s">
        <v>294</v>
      </c>
      <c r="H2" s="12" t="s">
        <v>298</v>
      </c>
      <c r="I2" s="109" t="s">
        <v>299</v>
      </c>
      <c r="J2" s="109" t="s">
        <v>300</v>
      </c>
      <c r="K2" s="69" t="s">
        <v>289</v>
      </c>
      <c r="L2" s="122" t="s">
        <v>447</v>
      </c>
      <c r="M2" s="12" t="s">
        <v>474</v>
      </c>
      <c r="N2" s="12" t="s">
        <v>475</v>
      </c>
      <c r="O2" s="118" t="s">
        <v>244</v>
      </c>
    </row>
    <row r="3" spans="1:19" ht="12" customHeight="1">
      <c r="A3" s="5"/>
      <c r="B3" s="5">
        <v>1111</v>
      </c>
      <c r="C3" s="114" t="s">
        <v>58</v>
      </c>
      <c r="D3" s="7">
        <v>1900000</v>
      </c>
      <c r="E3" s="7">
        <v>1763500</v>
      </c>
      <c r="F3" s="99">
        <v>1536784.31</v>
      </c>
      <c r="G3" s="123">
        <f>IFERROR(F3/E3,"-")</f>
        <v>0.87143992628296008</v>
      </c>
      <c r="H3" s="99">
        <v>1795377.69</v>
      </c>
      <c r="I3" s="123">
        <f>IFERROR(H3/E3,"-")</f>
        <v>1.018076376523958</v>
      </c>
      <c r="J3" s="123">
        <f>IFERROR(H3/K3,"-")</f>
        <v>0.82984871273399585</v>
      </c>
      <c r="K3" s="115">
        <f>E3+400000</f>
        <v>2163500</v>
      </c>
      <c r="L3" s="115">
        <v>2200000</v>
      </c>
      <c r="M3" s="115">
        <v>2300000</v>
      </c>
      <c r="N3" s="115">
        <v>2400000</v>
      </c>
      <c r="O3" s="99"/>
      <c r="S3" s="13"/>
    </row>
    <row r="4" spans="1:19" ht="12" customHeight="1">
      <c r="A4" s="5"/>
      <c r="B4" s="5">
        <v>1112</v>
      </c>
      <c r="C4" s="114" t="s">
        <v>57</v>
      </c>
      <c r="D4" s="7">
        <v>130000</v>
      </c>
      <c r="E4" s="7">
        <v>130000</v>
      </c>
      <c r="F4" s="99">
        <v>80076.39</v>
      </c>
      <c r="G4" s="124">
        <f t="shared" ref="G4:G60" si="0">IFERROR(F4/E4,"-")</f>
        <v>0.6159722307692308</v>
      </c>
      <c r="H4" s="99">
        <v>113385.2</v>
      </c>
      <c r="I4" s="124">
        <f t="shared" ref="I4:I60" si="1">IFERROR(H4/E4,"-")</f>
        <v>0.8721938461538461</v>
      </c>
      <c r="J4" s="124">
        <f t="shared" ref="J4:J60" si="2">IFERROR(H4/K4,"-")</f>
        <v>0.8721938461538461</v>
      </c>
      <c r="K4" s="115">
        <v>130000</v>
      </c>
      <c r="L4" s="115">
        <v>130000</v>
      </c>
      <c r="M4" s="115">
        <v>130000</v>
      </c>
      <c r="N4" s="115">
        <v>130000</v>
      </c>
      <c r="O4" s="99"/>
    </row>
    <row r="5" spans="1:19" ht="16.2" customHeight="1">
      <c r="A5" s="5"/>
      <c r="B5" s="5">
        <v>1113</v>
      </c>
      <c r="C5" s="114" t="s">
        <v>56</v>
      </c>
      <c r="D5" s="7">
        <v>450000</v>
      </c>
      <c r="E5" s="7">
        <v>450000</v>
      </c>
      <c r="F5" s="99">
        <v>377682.18</v>
      </c>
      <c r="G5" s="124">
        <f t="shared" si="0"/>
        <v>0.83929373333333335</v>
      </c>
      <c r="H5" s="99">
        <v>435543.87</v>
      </c>
      <c r="I5" s="124">
        <f t="shared" si="1"/>
        <v>0.96787526666666668</v>
      </c>
      <c r="J5" s="124">
        <f t="shared" si="2"/>
        <v>0.82178088679245287</v>
      </c>
      <c r="K5" s="115">
        <f>450000+80000</f>
        <v>530000</v>
      </c>
      <c r="L5" s="115">
        <v>530000</v>
      </c>
      <c r="M5" s="115">
        <v>600000</v>
      </c>
      <c r="N5" s="115">
        <v>620000</v>
      </c>
      <c r="O5" s="99"/>
    </row>
    <row r="6" spans="1:19" ht="12" customHeight="1">
      <c r="A6" s="5"/>
      <c r="B6" s="5">
        <v>1121</v>
      </c>
      <c r="C6" s="114" t="s">
        <v>55</v>
      </c>
      <c r="D6" s="7">
        <v>3000000</v>
      </c>
      <c r="E6" s="7">
        <v>2974563.04</v>
      </c>
      <c r="F6" s="99">
        <v>2022172.86</v>
      </c>
      <c r="G6" s="124">
        <f t="shared" si="0"/>
        <v>0.67982182014875037</v>
      </c>
      <c r="H6" s="99">
        <v>2551680.9900000002</v>
      </c>
      <c r="I6" s="124">
        <f t="shared" si="1"/>
        <v>0.85783389213361572</v>
      </c>
      <c r="J6" s="124">
        <f t="shared" si="2"/>
        <v>0.85783389213361572</v>
      </c>
      <c r="K6" s="115">
        <v>2974563.04</v>
      </c>
      <c r="L6" s="115">
        <v>3000000</v>
      </c>
      <c r="M6" s="115">
        <v>3000000</v>
      </c>
      <c r="N6" s="115">
        <v>3000000</v>
      </c>
      <c r="O6" s="99"/>
    </row>
    <row r="7" spans="1:19" ht="12" customHeight="1">
      <c r="A7" s="5"/>
      <c r="B7" s="5">
        <v>1211</v>
      </c>
      <c r="C7" s="114" t="s">
        <v>54</v>
      </c>
      <c r="D7" s="7">
        <v>6150000</v>
      </c>
      <c r="E7" s="7">
        <v>6150000</v>
      </c>
      <c r="F7" s="99">
        <v>4677949.18</v>
      </c>
      <c r="G7" s="124">
        <f t="shared" si="0"/>
        <v>0.7606421430894309</v>
      </c>
      <c r="H7" s="99">
        <v>5101455.2300000004</v>
      </c>
      <c r="I7" s="124">
        <f t="shared" si="1"/>
        <v>0.82950491544715454</v>
      </c>
      <c r="J7" s="124">
        <f t="shared" si="2"/>
        <v>0.81039797140587777</v>
      </c>
      <c r="K7" s="115">
        <v>6295000</v>
      </c>
      <c r="L7" s="115">
        <v>6200000</v>
      </c>
      <c r="M7" s="115">
        <v>6350000</v>
      </c>
      <c r="N7" s="115">
        <v>6400000</v>
      </c>
      <c r="O7" s="99"/>
    </row>
    <row r="8" spans="1:19" ht="16.2" customHeight="1">
      <c r="A8" s="5"/>
      <c r="B8" s="5">
        <v>1334</v>
      </c>
      <c r="C8" s="6" t="s">
        <v>53</v>
      </c>
      <c r="D8" s="7">
        <v>30000</v>
      </c>
      <c r="E8" s="7">
        <v>30000</v>
      </c>
      <c r="F8" s="99">
        <v>29516.400000000001</v>
      </c>
      <c r="G8" s="124">
        <f t="shared" si="0"/>
        <v>0.98388000000000009</v>
      </c>
      <c r="H8" s="99">
        <v>29516.400000000001</v>
      </c>
      <c r="I8" s="124">
        <f t="shared" si="1"/>
        <v>0.98388000000000009</v>
      </c>
      <c r="J8" s="124">
        <f t="shared" si="2"/>
        <v>0.98388000000000009</v>
      </c>
      <c r="K8" s="115">
        <v>30000</v>
      </c>
      <c r="L8" s="115">
        <v>30000</v>
      </c>
      <c r="M8" s="115">
        <v>30000</v>
      </c>
      <c r="N8" s="115">
        <v>30000</v>
      </c>
      <c r="O8" s="110"/>
    </row>
    <row r="9" spans="1:19" ht="16.2" hidden="1" customHeight="1">
      <c r="A9" s="5"/>
      <c r="B9" s="5">
        <v>1340</v>
      </c>
      <c r="C9" s="6" t="s">
        <v>154</v>
      </c>
      <c r="D9" s="7">
        <v>0</v>
      </c>
      <c r="E9" s="7">
        <v>0</v>
      </c>
      <c r="F9" s="99">
        <v>0</v>
      </c>
      <c r="G9" s="124" t="str">
        <f t="shared" si="0"/>
        <v>-</v>
      </c>
      <c r="H9" s="99">
        <v>0</v>
      </c>
      <c r="I9" s="124" t="str">
        <f t="shared" si="1"/>
        <v>-</v>
      </c>
      <c r="J9" s="124" t="str">
        <f t="shared" si="2"/>
        <v>-</v>
      </c>
      <c r="K9" s="115">
        <v>0</v>
      </c>
      <c r="L9" s="115"/>
      <c r="M9" s="115"/>
      <c r="N9" s="115"/>
      <c r="O9" s="99"/>
    </row>
    <row r="10" spans="1:19" ht="12" customHeight="1">
      <c r="A10" s="5"/>
      <c r="B10" s="5">
        <v>1341</v>
      </c>
      <c r="C10" s="6" t="s">
        <v>52</v>
      </c>
      <c r="D10" s="7">
        <v>35000</v>
      </c>
      <c r="E10" s="7">
        <v>35000</v>
      </c>
      <c r="F10" s="99">
        <v>24367</v>
      </c>
      <c r="G10" s="124">
        <f t="shared" si="0"/>
        <v>0.69620000000000004</v>
      </c>
      <c r="H10" s="99">
        <v>24217</v>
      </c>
      <c r="I10" s="124">
        <f t="shared" si="1"/>
        <v>0.6919142857142857</v>
      </c>
      <c r="J10" s="124">
        <f t="shared" si="2"/>
        <v>0.6919142857142857</v>
      </c>
      <c r="K10" s="115">
        <v>35000</v>
      </c>
      <c r="L10" s="115">
        <v>25000</v>
      </c>
      <c r="M10" s="115">
        <v>25000</v>
      </c>
      <c r="N10" s="115">
        <v>25000</v>
      </c>
      <c r="O10" s="99"/>
    </row>
    <row r="11" spans="1:19" ht="12" customHeight="1">
      <c r="A11" s="5"/>
      <c r="B11" s="5">
        <v>1343</v>
      </c>
      <c r="C11" s="6" t="s">
        <v>51</v>
      </c>
      <c r="D11" s="7">
        <v>3000</v>
      </c>
      <c r="E11" s="7">
        <v>3000</v>
      </c>
      <c r="F11" s="99">
        <v>0</v>
      </c>
      <c r="G11" s="124">
        <f t="shared" si="0"/>
        <v>0</v>
      </c>
      <c r="H11" s="99">
        <v>3000</v>
      </c>
      <c r="I11" s="124">
        <f t="shared" si="1"/>
        <v>1</v>
      </c>
      <c r="J11" s="124">
        <f t="shared" si="2"/>
        <v>1</v>
      </c>
      <c r="K11" s="115">
        <v>3000</v>
      </c>
      <c r="L11" s="115">
        <v>3000</v>
      </c>
      <c r="M11" s="115">
        <v>3000</v>
      </c>
      <c r="N11" s="115">
        <v>3000</v>
      </c>
      <c r="O11" s="99" t="s">
        <v>245</v>
      </c>
    </row>
    <row r="12" spans="1:19" ht="16.2" customHeight="1">
      <c r="A12" s="5"/>
      <c r="B12" s="5">
        <v>1345</v>
      </c>
      <c r="C12" s="6" t="s">
        <v>50</v>
      </c>
      <c r="D12" s="7">
        <v>700000</v>
      </c>
      <c r="E12" s="7">
        <v>700000</v>
      </c>
      <c r="F12" s="99">
        <v>635373</v>
      </c>
      <c r="G12" s="124">
        <f t="shared" si="0"/>
        <v>0.90767571428571425</v>
      </c>
      <c r="H12" s="99">
        <v>642075</v>
      </c>
      <c r="I12" s="124">
        <f t="shared" si="1"/>
        <v>0.91725000000000001</v>
      </c>
      <c r="J12" s="124">
        <f t="shared" si="2"/>
        <v>0.91725000000000001</v>
      </c>
      <c r="K12" s="115">
        <v>700000</v>
      </c>
      <c r="L12" s="115">
        <v>650000</v>
      </c>
      <c r="M12" s="115">
        <v>670000</v>
      </c>
      <c r="N12" s="115">
        <v>675000</v>
      </c>
      <c r="O12" s="99"/>
    </row>
    <row r="13" spans="1:19" ht="12" customHeight="1">
      <c r="A13" s="5"/>
      <c r="B13" s="5">
        <v>1361</v>
      </c>
      <c r="C13" s="6" t="s">
        <v>49</v>
      </c>
      <c r="D13" s="7">
        <v>6000</v>
      </c>
      <c r="E13" s="7">
        <v>6600</v>
      </c>
      <c r="F13" s="99">
        <v>9530</v>
      </c>
      <c r="G13" s="124">
        <f t="shared" si="0"/>
        <v>1.4439393939393939</v>
      </c>
      <c r="H13" s="99">
        <v>10030</v>
      </c>
      <c r="I13" s="124">
        <f t="shared" si="1"/>
        <v>1.5196969696969698</v>
      </c>
      <c r="J13" s="124">
        <f t="shared" si="2"/>
        <v>0.85</v>
      </c>
      <c r="K13" s="115">
        <v>11800</v>
      </c>
      <c r="L13" s="115">
        <v>10000</v>
      </c>
      <c r="M13" s="115">
        <v>10000</v>
      </c>
      <c r="N13" s="115">
        <v>10000</v>
      </c>
      <c r="O13" s="99"/>
    </row>
    <row r="14" spans="1:19" ht="16.2" customHeight="1">
      <c r="A14" s="5"/>
      <c r="B14" s="5">
        <v>1381</v>
      </c>
      <c r="C14" s="114" t="s">
        <v>48</v>
      </c>
      <c r="D14" s="7">
        <v>80000</v>
      </c>
      <c r="E14" s="7">
        <v>80000</v>
      </c>
      <c r="F14" s="99">
        <v>26868.73</v>
      </c>
      <c r="G14" s="124">
        <f t="shared" si="0"/>
        <v>0.33585912499999998</v>
      </c>
      <c r="H14" s="99">
        <v>26868.73</v>
      </c>
      <c r="I14" s="124">
        <f t="shared" si="1"/>
        <v>0.33585912499999998</v>
      </c>
      <c r="J14" s="124">
        <f t="shared" si="2"/>
        <v>0.33585912499999998</v>
      </c>
      <c r="K14" s="115">
        <v>80000</v>
      </c>
      <c r="L14" s="115">
        <v>50000</v>
      </c>
      <c r="M14" s="115">
        <v>50000</v>
      </c>
      <c r="N14" s="115">
        <v>50000</v>
      </c>
      <c r="O14" s="99"/>
    </row>
    <row r="15" spans="1:19" ht="16.2" customHeight="1">
      <c r="A15" s="5"/>
      <c r="B15" s="5">
        <v>1386</v>
      </c>
      <c r="C15" s="114" t="s">
        <v>291</v>
      </c>
      <c r="D15" s="7">
        <v>0</v>
      </c>
      <c r="E15" s="7">
        <v>0</v>
      </c>
      <c r="F15" s="99">
        <v>53802.67</v>
      </c>
      <c r="G15" s="124" t="str">
        <f t="shared" si="0"/>
        <v>-</v>
      </c>
      <c r="H15" s="99">
        <v>53802.67</v>
      </c>
      <c r="I15" s="124" t="str">
        <f t="shared" si="1"/>
        <v>-</v>
      </c>
      <c r="J15" s="124">
        <f t="shared" si="2"/>
        <v>0.63297258823529412</v>
      </c>
      <c r="K15" s="115">
        <v>85000</v>
      </c>
      <c r="L15" s="115">
        <v>50000</v>
      </c>
      <c r="M15" s="115">
        <v>50000</v>
      </c>
      <c r="N15" s="115">
        <v>50000</v>
      </c>
      <c r="O15" s="99"/>
    </row>
    <row r="16" spans="1:19" ht="16.2" customHeight="1">
      <c r="A16" s="5"/>
      <c r="B16" s="5">
        <v>1387</v>
      </c>
      <c r="C16" s="114" t="s">
        <v>292</v>
      </c>
      <c r="D16" s="7">
        <v>0</v>
      </c>
      <c r="E16" s="7">
        <v>0</v>
      </c>
      <c r="F16" s="99">
        <v>25239.97</v>
      </c>
      <c r="G16" s="124" t="str">
        <f t="shared" si="0"/>
        <v>-</v>
      </c>
      <c r="H16" s="99">
        <v>25239.97</v>
      </c>
      <c r="I16" s="124" t="str">
        <f t="shared" si="1"/>
        <v>-</v>
      </c>
      <c r="J16" s="124">
        <f t="shared" si="2"/>
        <v>0.45890854545454546</v>
      </c>
      <c r="K16" s="115">
        <v>55000</v>
      </c>
      <c r="L16" s="115">
        <v>25000</v>
      </c>
      <c r="M16" s="115">
        <v>25000</v>
      </c>
      <c r="N16" s="115">
        <v>25000</v>
      </c>
      <c r="O16" s="99"/>
    </row>
    <row r="17" spans="1:16" ht="12" customHeight="1">
      <c r="A17" s="5"/>
      <c r="B17" s="5">
        <v>1511</v>
      </c>
      <c r="C17" s="114" t="s">
        <v>47</v>
      </c>
      <c r="D17" s="7">
        <v>350000</v>
      </c>
      <c r="E17" s="7">
        <v>350000</v>
      </c>
      <c r="F17" s="99">
        <v>448792.34</v>
      </c>
      <c r="G17" s="124">
        <f t="shared" si="0"/>
        <v>1.2822638285714287</v>
      </c>
      <c r="H17" s="99">
        <v>486091.23</v>
      </c>
      <c r="I17" s="124">
        <f t="shared" si="1"/>
        <v>1.3888320857142857</v>
      </c>
      <c r="J17" s="124">
        <f t="shared" si="2"/>
        <v>0.99202291836734691</v>
      </c>
      <c r="K17" s="115">
        <v>490000</v>
      </c>
      <c r="L17" s="115">
        <v>550000</v>
      </c>
      <c r="M17" s="115">
        <v>600000</v>
      </c>
      <c r="N17" s="115">
        <v>620000</v>
      </c>
      <c r="O17" s="99"/>
    </row>
    <row r="18" spans="1:16" ht="16.2" customHeight="1">
      <c r="A18" s="5"/>
      <c r="B18" s="5">
        <v>2420</v>
      </c>
      <c r="C18" s="113" t="s">
        <v>46</v>
      </c>
      <c r="D18" s="7">
        <v>200000</v>
      </c>
      <c r="E18" s="7">
        <v>200000</v>
      </c>
      <c r="F18" s="99">
        <v>0</v>
      </c>
      <c r="G18" s="124">
        <f t="shared" si="0"/>
        <v>0</v>
      </c>
      <c r="H18" s="99">
        <v>0</v>
      </c>
      <c r="I18" s="124">
        <f t="shared" si="1"/>
        <v>0</v>
      </c>
      <c r="J18" s="124">
        <f t="shared" si="2"/>
        <v>0</v>
      </c>
      <c r="K18" s="115">
        <v>200000</v>
      </c>
      <c r="L18" s="287">
        <v>200000</v>
      </c>
      <c r="M18" s="287">
        <v>0</v>
      </c>
      <c r="N18" s="287">
        <v>0</v>
      </c>
      <c r="O18" s="99" t="s">
        <v>246</v>
      </c>
    </row>
    <row r="19" spans="1:16" ht="16.2" customHeight="1">
      <c r="A19" s="5"/>
      <c r="B19" s="5">
        <v>4111</v>
      </c>
      <c r="C19" s="113" t="s">
        <v>45</v>
      </c>
      <c r="D19" s="7">
        <v>50000</v>
      </c>
      <c r="E19" s="7">
        <v>107436.96</v>
      </c>
      <c r="F19" s="99">
        <v>57436.959999999999</v>
      </c>
      <c r="G19" s="124">
        <f t="shared" si="0"/>
        <v>0.53461080804966932</v>
      </c>
      <c r="H19" s="99">
        <v>57436.959999999999</v>
      </c>
      <c r="I19" s="124">
        <f t="shared" si="1"/>
        <v>0.53461080804966932</v>
      </c>
      <c r="J19" s="124">
        <f t="shared" si="2"/>
        <v>0.53461080804966932</v>
      </c>
      <c r="K19" s="115">
        <v>107436.96</v>
      </c>
      <c r="L19" s="287">
        <v>50000</v>
      </c>
      <c r="M19" s="287">
        <v>50000</v>
      </c>
      <c r="N19" s="287">
        <v>0</v>
      </c>
      <c r="O19" s="99" t="s">
        <v>448</v>
      </c>
    </row>
    <row r="20" spans="1:16" ht="16.2" customHeight="1">
      <c r="A20" s="5"/>
      <c r="B20" s="5">
        <v>4112</v>
      </c>
      <c r="C20" s="6" t="s">
        <v>44</v>
      </c>
      <c r="D20" s="7">
        <v>173600</v>
      </c>
      <c r="E20" s="7">
        <v>173000</v>
      </c>
      <c r="F20" s="99">
        <v>129753</v>
      </c>
      <c r="G20" s="124">
        <f t="shared" si="0"/>
        <v>0.75001734104046247</v>
      </c>
      <c r="H20" s="99">
        <v>144170</v>
      </c>
      <c r="I20" s="124">
        <f t="shared" si="1"/>
        <v>0.83335260115606935</v>
      </c>
      <c r="J20" s="124">
        <f t="shared" si="2"/>
        <v>0.83335260115606935</v>
      </c>
      <c r="K20" s="115">
        <v>173000</v>
      </c>
      <c r="L20" s="115">
        <v>175000</v>
      </c>
      <c r="M20" s="115">
        <v>175000</v>
      </c>
      <c r="N20" s="115">
        <v>175000</v>
      </c>
      <c r="O20" s="99"/>
    </row>
    <row r="21" spans="1:16" ht="16.2" customHeight="1">
      <c r="A21" s="5"/>
      <c r="B21" s="5">
        <v>4116</v>
      </c>
      <c r="C21" s="6" t="s">
        <v>155</v>
      </c>
      <c r="D21" s="7">
        <v>0</v>
      </c>
      <c r="E21" s="7">
        <v>104500</v>
      </c>
      <c r="F21" s="99">
        <v>104500</v>
      </c>
      <c r="G21" s="124">
        <f t="shared" si="0"/>
        <v>1</v>
      </c>
      <c r="H21" s="99">
        <v>104500</v>
      </c>
      <c r="I21" s="124">
        <f t="shared" si="1"/>
        <v>1</v>
      </c>
      <c r="J21" s="124">
        <f t="shared" si="2"/>
        <v>1</v>
      </c>
      <c r="K21" s="115">
        <f>E21</f>
        <v>104500</v>
      </c>
      <c r="L21" s="115">
        <v>0</v>
      </c>
      <c r="M21" s="115">
        <v>0</v>
      </c>
      <c r="N21" s="115">
        <v>0</v>
      </c>
      <c r="O21" s="99" t="s">
        <v>449</v>
      </c>
    </row>
    <row r="22" spans="1:16" ht="16.2" customHeight="1">
      <c r="A22" s="5"/>
      <c r="B22" s="5">
        <v>4122</v>
      </c>
      <c r="C22" s="6" t="s">
        <v>156</v>
      </c>
      <c r="D22" s="7">
        <v>0</v>
      </c>
      <c r="E22" s="7">
        <v>0</v>
      </c>
      <c r="F22" s="99">
        <v>0</v>
      </c>
      <c r="G22" s="124" t="str">
        <f t="shared" si="0"/>
        <v>-</v>
      </c>
      <c r="H22" s="99">
        <v>99100</v>
      </c>
      <c r="I22" s="124" t="str">
        <f t="shared" si="1"/>
        <v>-</v>
      </c>
      <c r="J22" s="124" t="str">
        <f t="shared" si="2"/>
        <v>-</v>
      </c>
      <c r="K22" s="115">
        <v>0</v>
      </c>
      <c r="L22" s="115">
        <v>0</v>
      </c>
      <c r="M22" s="115">
        <v>0</v>
      </c>
      <c r="N22" s="115">
        <v>0</v>
      </c>
      <c r="O22" s="99" t="s">
        <v>450</v>
      </c>
    </row>
    <row r="23" spans="1:16" ht="16.2" customHeight="1">
      <c r="A23" s="5"/>
      <c r="B23" s="5">
        <v>4211</v>
      </c>
      <c r="C23" s="6" t="s">
        <v>241</v>
      </c>
      <c r="D23" s="7">
        <v>0</v>
      </c>
      <c r="E23" s="7">
        <v>0</v>
      </c>
      <c r="F23" s="99">
        <v>0</v>
      </c>
      <c r="G23" s="124" t="str">
        <f t="shared" si="0"/>
        <v>-</v>
      </c>
      <c r="H23" s="99">
        <v>0</v>
      </c>
      <c r="I23" s="124" t="str">
        <f t="shared" si="1"/>
        <v>-</v>
      </c>
      <c r="J23" s="124" t="str">
        <f t="shared" si="2"/>
        <v>-</v>
      </c>
      <c r="K23" s="115">
        <v>0</v>
      </c>
      <c r="L23" s="115">
        <v>0</v>
      </c>
      <c r="M23" s="115">
        <v>0</v>
      </c>
      <c r="N23" s="115">
        <v>0</v>
      </c>
      <c r="O23" s="99"/>
    </row>
    <row r="24" spans="1:16" ht="16.2" customHeight="1">
      <c r="A24" s="5"/>
      <c r="B24" s="5">
        <v>4216</v>
      </c>
      <c r="C24" s="6" t="s">
        <v>157</v>
      </c>
      <c r="D24" s="7">
        <v>0</v>
      </c>
      <c r="E24" s="7">
        <v>0</v>
      </c>
      <c r="F24" s="99">
        <v>0</v>
      </c>
      <c r="G24" s="124" t="str">
        <f t="shared" si="0"/>
        <v>-</v>
      </c>
      <c r="H24" s="99">
        <v>0</v>
      </c>
      <c r="I24" s="124" t="str">
        <f t="shared" si="1"/>
        <v>-</v>
      </c>
      <c r="J24" s="124" t="str">
        <f t="shared" si="2"/>
        <v>-</v>
      </c>
      <c r="K24" s="115">
        <v>0</v>
      </c>
      <c r="L24" s="115">
        <v>0</v>
      </c>
      <c r="M24" s="115">
        <v>0</v>
      </c>
      <c r="N24" s="115">
        <v>0</v>
      </c>
      <c r="O24" s="99"/>
    </row>
    <row r="25" spans="1:16" ht="16.2" customHeight="1">
      <c r="A25" s="5"/>
      <c r="B25" s="5">
        <v>4222</v>
      </c>
      <c r="C25" s="6" t="s">
        <v>158</v>
      </c>
      <c r="D25" s="7">
        <v>0</v>
      </c>
      <c r="E25" s="7">
        <v>0</v>
      </c>
      <c r="F25" s="99">
        <v>0</v>
      </c>
      <c r="G25" s="124" t="str">
        <f t="shared" si="0"/>
        <v>-</v>
      </c>
      <c r="H25" s="99">
        <v>0</v>
      </c>
      <c r="I25" s="124" t="str">
        <f t="shared" si="1"/>
        <v>-</v>
      </c>
      <c r="J25" s="124" t="str">
        <f t="shared" si="2"/>
        <v>-</v>
      </c>
      <c r="K25" s="115">
        <v>0</v>
      </c>
      <c r="L25" s="115">
        <v>0</v>
      </c>
      <c r="M25" s="115">
        <v>0</v>
      </c>
      <c r="N25" s="115">
        <v>0</v>
      </c>
      <c r="O25" s="99"/>
    </row>
    <row r="26" spans="1:16" ht="12" customHeight="1">
      <c r="A26" s="8"/>
      <c r="B26" s="8" t="s">
        <v>2</v>
      </c>
      <c r="C26" s="9" t="s">
        <v>43</v>
      </c>
      <c r="D26" s="10">
        <f>SUM(D3:D25)</f>
        <v>13257600</v>
      </c>
      <c r="E26" s="10">
        <f>SUM(E3:E25)</f>
        <v>13257600</v>
      </c>
      <c r="F26" s="111">
        <f>SUM(F3:F25)</f>
        <v>10239844.990000002</v>
      </c>
      <c r="G26" s="125">
        <f t="shared" si="0"/>
        <v>0.77237546690200354</v>
      </c>
      <c r="H26" s="111">
        <f>SUM(H3:H25)</f>
        <v>11703490.940000003</v>
      </c>
      <c r="I26" s="125">
        <f t="shared" si="1"/>
        <v>0.88277598811247915</v>
      </c>
      <c r="J26" s="125">
        <f t="shared" si="2"/>
        <v>0.82606268722031673</v>
      </c>
      <c r="K26" s="116">
        <f>SUM(K3:K25)</f>
        <v>14167800</v>
      </c>
      <c r="L26" s="116">
        <f>SUM(L3:L25)</f>
        <v>13878000</v>
      </c>
      <c r="M26" s="116">
        <f t="shared" ref="M26:N26" si="3">SUM(M3:M25)</f>
        <v>14068000</v>
      </c>
      <c r="N26" s="116">
        <f t="shared" si="3"/>
        <v>14213000</v>
      </c>
      <c r="O26" s="111"/>
      <c r="P26" s="13"/>
    </row>
    <row r="27" spans="1:16" ht="12" customHeight="1">
      <c r="A27" s="5" t="s">
        <v>40</v>
      </c>
      <c r="B27" s="5">
        <v>2131</v>
      </c>
      <c r="C27" s="6" t="s">
        <v>42</v>
      </c>
      <c r="D27" s="7">
        <v>3000</v>
      </c>
      <c r="E27" s="7">
        <v>3000</v>
      </c>
      <c r="F27" s="99">
        <v>2524</v>
      </c>
      <c r="G27" s="124">
        <f t="shared" si="0"/>
        <v>0.84133333333333338</v>
      </c>
      <c r="H27" s="99">
        <v>28824</v>
      </c>
      <c r="I27" s="124">
        <f t="shared" si="1"/>
        <v>9.6080000000000005</v>
      </c>
      <c r="J27" s="124">
        <f t="shared" si="2"/>
        <v>9.6080000000000005</v>
      </c>
      <c r="K27" s="287">
        <v>3000</v>
      </c>
      <c r="L27" s="287">
        <v>25000</v>
      </c>
      <c r="M27" s="287">
        <v>25000</v>
      </c>
      <c r="N27" s="287">
        <v>25000</v>
      </c>
      <c r="O27" s="99" t="s">
        <v>451</v>
      </c>
    </row>
    <row r="28" spans="1:16" ht="12" customHeight="1">
      <c r="A28" s="5" t="s">
        <v>40</v>
      </c>
      <c r="B28" s="5">
        <v>3111</v>
      </c>
      <c r="C28" s="6" t="s">
        <v>41</v>
      </c>
      <c r="D28" s="7">
        <v>0</v>
      </c>
      <c r="E28" s="7">
        <v>0</v>
      </c>
      <c r="F28" s="99">
        <v>0</v>
      </c>
      <c r="G28" s="124" t="str">
        <f t="shared" si="0"/>
        <v>-</v>
      </c>
      <c r="H28" s="99">
        <v>0</v>
      </c>
      <c r="I28" s="124" t="str">
        <f t="shared" si="1"/>
        <v>-</v>
      </c>
      <c r="J28" s="124" t="str">
        <f t="shared" si="2"/>
        <v>-</v>
      </c>
      <c r="K28" s="115">
        <v>0</v>
      </c>
      <c r="L28" s="115">
        <v>0</v>
      </c>
      <c r="M28" s="115">
        <v>0</v>
      </c>
      <c r="N28" s="115">
        <v>0</v>
      </c>
      <c r="O28" s="110" t="s">
        <v>247</v>
      </c>
    </row>
    <row r="29" spans="1:16" ht="16.2" customHeight="1">
      <c r="A29" s="8" t="s">
        <v>40</v>
      </c>
      <c r="B29" s="8" t="s">
        <v>2</v>
      </c>
      <c r="C29" s="9" t="s">
        <v>39</v>
      </c>
      <c r="D29" s="10">
        <f t="shared" ref="D29:E29" si="4">SUM(D27:D28)</f>
        <v>3000</v>
      </c>
      <c r="E29" s="10">
        <f t="shared" si="4"/>
        <v>3000</v>
      </c>
      <c r="F29" s="111">
        <f t="shared" ref="F29:H29" si="5">SUM(F27:F28)</f>
        <v>2524</v>
      </c>
      <c r="G29" s="125">
        <f t="shared" si="0"/>
        <v>0.84133333333333338</v>
      </c>
      <c r="H29" s="111">
        <f t="shared" si="5"/>
        <v>28824</v>
      </c>
      <c r="I29" s="125">
        <f t="shared" si="1"/>
        <v>9.6080000000000005</v>
      </c>
      <c r="J29" s="125">
        <f t="shared" si="2"/>
        <v>9.6080000000000005</v>
      </c>
      <c r="K29" s="116">
        <f>SUM(K27:K28)</f>
        <v>3000</v>
      </c>
      <c r="L29" s="116">
        <f>SUM(L27:L28)</f>
        <v>25000</v>
      </c>
      <c r="M29" s="116">
        <f t="shared" ref="M29:N29" si="6">SUM(M27:M28)</f>
        <v>25000</v>
      </c>
      <c r="N29" s="116">
        <f t="shared" si="6"/>
        <v>25000</v>
      </c>
      <c r="O29" s="111"/>
    </row>
    <row r="30" spans="1:16" ht="12" customHeight="1">
      <c r="A30" s="5" t="s">
        <v>38</v>
      </c>
      <c r="B30" s="5">
        <v>2111</v>
      </c>
      <c r="C30" s="6" t="s">
        <v>11</v>
      </c>
      <c r="D30" s="7">
        <v>100000</v>
      </c>
      <c r="E30" s="7">
        <v>100000</v>
      </c>
      <c r="F30" s="99">
        <v>0</v>
      </c>
      <c r="G30" s="124">
        <f t="shared" si="0"/>
        <v>0</v>
      </c>
      <c r="H30" s="99">
        <v>0</v>
      </c>
      <c r="I30" s="124">
        <f t="shared" si="1"/>
        <v>0</v>
      </c>
      <c r="J30" s="124">
        <f t="shared" si="2"/>
        <v>0</v>
      </c>
      <c r="K30" s="287">
        <v>100000</v>
      </c>
      <c r="L30" s="287">
        <v>0</v>
      </c>
      <c r="M30" s="287">
        <v>50000</v>
      </c>
      <c r="N30" s="287">
        <v>50000</v>
      </c>
      <c r="O30" s="99" t="s">
        <v>248</v>
      </c>
    </row>
    <row r="31" spans="1:16" ht="12" customHeight="1">
      <c r="A31" s="5" t="s">
        <v>38</v>
      </c>
      <c r="B31" s="5">
        <v>2322</v>
      </c>
      <c r="C31" s="6" t="s">
        <v>34</v>
      </c>
      <c r="D31" s="7">
        <v>0</v>
      </c>
      <c r="E31" s="7">
        <v>0</v>
      </c>
      <c r="F31" s="99">
        <v>0</v>
      </c>
      <c r="G31" s="124" t="str">
        <f t="shared" si="0"/>
        <v>-</v>
      </c>
      <c r="H31" s="99">
        <v>0</v>
      </c>
      <c r="I31" s="124" t="str">
        <f t="shared" si="1"/>
        <v>-</v>
      </c>
      <c r="J31" s="124" t="str">
        <f t="shared" si="2"/>
        <v>-</v>
      </c>
      <c r="K31" s="287">
        <v>0</v>
      </c>
      <c r="L31" s="287"/>
      <c r="M31" s="287"/>
      <c r="N31" s="287"/>
      <c r="O31" s="99"/>
    </row>
    <row r="32" spans="1:16" ht="12" customHeight="1">
      <c r="A32" s="8" t="s">
        <v>38</v>
      </c>
      <c r="B32" s="8" t="s">
        <v>2</v>
      </c>
      <c r="C32" s="9" t="s">
        <v>37</v>
      </c>
      <c r="D32" s="10">
        <f t="shared" ref="D32:E32" si="7">SUM(D30:D31)</f>
        <v>100000</v>
      </c>
      <c r="E32" s="10">
        <f t="shared" si="7"/>
        <v>100000</v>
      </c>
      <c r="F32" s="111">
        <f t="shared" ref="F32:H32" si="8">SUM(F30:F31)</f>
        <v>0</v>
      </c>
      <c r="G32" s="125">
        <f t="shared" si="0"/>
        <v>0</v>
      </c>
      <c r="H32" s="111">
        <f t="shared" si="8"/>
        <v>0</v>
      </c>
      <c r="I32" s="125">
        <f t="shared" si="1"/>
        <v>0</v>
      </c>
      <c r="J32" s="125">
        <f t="shared" si="2"/>
        <v>0</v>
      </c>
      <c r="K32" s="116">
        <f>SUM(K30:K31)</f>
        <v>100000</v>
      </c>
      <c r="L32" s="116">
        <f>SUM(L30:L31)</f>
        <v>0</v>
      </c>
      <c r="M32" s="116">
        <f t="shared" ref="M32:N32" si="9">SUM(M30:M31)</f>
        <v>50000</v>
      </c>
      <c r="N32" s="116">
        <f t="shared" si="9"/>
        <v>50000</v>
      </c>
      <c r="O32" s="111"/>
    </row>
    <row r="33" spans="1:15" ht="12" customHeight="1">
      <c r="A33" s="5" t="s">
        <v>36</v>
      </c>
      <c r="B33" s="5">
        <v>2111</v>
      </c>
      <c r="C33" s="6" t="s">
        <v>11</v>
      </c>
      <c r="D33" s="7">
        <v>200000</v>
      </c>
      <c r="E33" s="7">
        <v>200000</v>
      </c>
      <c r="F33" s="99">
        <v>209870.07999999999</v>
      </c>
      <c r="G33" s="124">
        <f t="shared" si="0"/>
        <v>1.0493504</v>
      </c>
      <c r="H33" s="99">
        <v>209870.07999999999</v>
      </c>
      <c r="I33" s="124">
        <f t="shared" si="1"/>
        <v>1.0493504</v>
      </c>
      <c r="J33" s="124">
        <f t="shared" si="2"/>
        <v>0.99938133333333323</v>
      </c>
      <c r="K33" s="115">
        <v>210000</v>
      </c>
      <c r="L33" s="115">
        <v>210000</v>
      </c>
      <c r="M33" s="115">
        <v>220000</v>
      </c>
      <c r="N33" s="115">
        <v>235000</v>
      </c>
      <c r="O33" s="99" t="s">
        <v>249</v>
      </c>
    </row>
    <row r="34" spans="1:15" ht="12" customHeight="1">
      <c r="A34" s="8" t="s">
        <v>36</v>
      </c>
      <c r="B34" s="8" t="s">
        <v>2</v>
      </c>
      <c r="C34" s="9" t="s">
        <v>35</v>
      </c>
      <c r="D34" s="10">
        <f t="shared" ref="D34:E34" si="10">SUM(D33)</f>
        <v>200000</v>
      </c>
      <c r="E34" s="10">
        <f t="shared" si="10"/>
        <v>200000</v>
      </c>
      <c r="F34" s="111">
        <f t="shared" ref="F34:H34" si="11">SUM(F33)</f>
        <v>209870.07999999999</v>
      </c>
      <c r="G34" s="125">
        <f t="shared" si="0"/>
        <v>1.0493504</v>
      </c>
      <c r="H34" s="111">
        <f t="shared" si="11"/>
        <v>209870.07999999999</v>
      </c>
      <c r="I34" s="125">
        <f t="shared" si="1"/>
        <v>1.0493504</v>
      </c>
      <c r="J34" s="125">
        <f t="shared" si="2"/>
        <v>0.99938133333333323</v>
      </c>
      <c r="K34" s="116">
        <f>K33</f>
        <v>210000</v>
      </c>
      <c r="L34" s="116">
        <f>L33</f>
        <v>210000</v>
      </c>
      <c r="M34" s="116">
        <f t="shared" ref="M34:N34" si="12">M33</f>
        <v>220000</v>
      </c>
      <c r="N34" s="116">
        <f t="shared" si="12"/>
        <v>235000</v>
      </c>
      <c r="O34" s="111"/>
    </row>
    <row r="35" spans="1:15" ht="12" customHeight="1">
      <c r="A35" s="5">
        <v>3111</v>
      </c>
      <c r="B35" s="5">
        <v>2111</v>
      </c>
      <c r="C35" s="6" t="s">
        <v>11</v>
      </c>
      <c r="D35" s="7">
        <v>170000</v>
      </c>
      <c r="E35" s="7">
        <v>170000</v>
      </c>
      <c r="F35" s="99">
        <v>97225.39</v>
      </c>
      <c r="G35" s="124">
        <f t="shared" si="0"/>
        <v>0.57191405882352941</v>
      </c>
      <c r="H35" s="99">
        <v>142567.39000000001</v>
      </c>
      <c r="I35" s="124">
        <f t="shared" si="1"/>
        <v>0.83863170588235303</v>
      </c>
      <c r="J35" s="124">
        <f t="shared" si="2"/>
        <v>0.83863170588235303</v>
      </c>
      <c r="K35" s="115">
        <v>170000</v>
      </c>
      <c r="L35" s="115">
        <v>170000</v>
      </c>
      <c r="M35" s="115">
        <v>170000</v>
      </c>
      <c r="N35" s="115">
        <v>170000</v>
      </c>
      <c r="O35" s="99" t="s">
        <v>250</v>
      </c>
    </row>
    <row r="36" spans="1:15" ht="12" customHeight="1">
      <c r="A36" s="8" t="s">
        <v>33</v>
      </c>
      <c r="B36" s="8" t="s">
        <v>2</v>
      </c>
      <c r="C36" s="9" t="s">
        <v>32</v>
      </c>
      <c r="D36" s="10">
        <f>D35</f>
        <v>170000</v>
      </c>
      <c r="E36" s="10">
        <f>E35</f>
        <v>170000</v>
      </c>
      <c r="F36" s="111">
        <f>SUM(F35:F35)</f>
        <v>97225.39</v>
      </c>
      <c r="G36" s="125">
        <f t="shared" si="0"/>
        <v>0.57191405882352941</v>
      </c>
      <c r="H36" s="111">
        <f>SUM(H35:H35)</f>
        <v>142567.39000000001</v>
      </c>
      <c r="I36" s="125">
        <f t="shared" si="1"/>
        <v>0.83863170588235303</v>
      </c>
      <c r="J36" s="125">
        <f t="shared" si="2"/>
        <v>0.83863170588235303</v>
      </c>
      <c r="K36" s="116">
        <f>K35</f>
        <v>170000</v>
      </c>
      <c r="L36" s="116">
        <f>L35</f>
        <v>170000</v>
      </c>
      <c r="M36" s="116">
        <f t="shared" ref="M36:N36" si="13">M35</f>
        <v>170000</v>
      </c>
      <c r="N36" s="116">
        <f t="shared" si="13"/>
        <v>170000</v>
      </c>
      <c r="O36" s="111"/>
    </row>
    <row r="37" spans="1:15" ht="12" customHeight="1">
      <c r="A37" s="5" t="s">
        <v>30</v>
      </c>
      <c r="B37" s="5">
        <v>2111</v>
      </c>
      <c r="C37" s="6" t="s">
        <v>11</v>
      </c>
      <c r="D37" s="7">
        <v>200000</v>
      </c>
      <c r="E37" s="7">
        <v>200000</v>
      </c>
      <c r="F37" s="99">
        <v>114496</v>
      </c>
      <c r="G37" s="124">
        <f t="shared" si="0"/>
        <v>0.57247999999999999</v>
      </c>
      <c r="H37" s="99">
        <v>126496</v>
      </c>
      <c r="I37" s="124">
        <f t="shared" si="1"/>
        <v>0.63248000000000004</v>
      </c>
      <c r="J37" s="124">
        <f t="shared" si="2"/>
        <v>0.63248000000000004</v>
      </c>
      <c r="K37" s="287">
        <v>200000</v>
      </c>
      <c r="L37" s="115">
        <v>150000</v>
      </c>
      <c r="M37" s="115">
        <v>180000</v>
      </c>
      <c r="N37" s="115">
        <v>200000</v>
      </c>
      <c r="O37" s="99" t="s">
        <v>251</v>
      </c>
    </row>
    <row r="38" spans="1:15" ht="16.2" customHeight="1">
      <c r="A38" s="5" t="s">
        <v>30</v>
      </c>
      <c r="B38" s="5">
        <v>2132</v>
      </c>
      <c r="C38" s="6" t="s">
        <v>28</v>
      </c>
      <c r="D38" s="7">
        <v>40000</v>
      </c>
      <c r="E38" s="7">
        <v>40000</v>
      </c>
      <c r="F38" s="99">
        <v>41000</v>
      </c>
      <c r="G38" s="124">
        <f t="shared" si="0"/>
        <v>1.0249999999999999</v>
      </c>
      <c r="H38" s="99">
        <v>50000</v>
      </c>
      <c r="I38" s="124">
        <f t="shared" si="1"/>
        <v>1.25</v>
      </c>
      <c r="J38" s="124">
        <f t="shared" si="2"/>
        <v>1</v>
      </c>
      <c r="K38" s="115">
        <v>50000</v>
      </c>
      <c r="L38" s="115">
        <v>50000</v>
      </c>
      <c r="M38" s="115">
        <v>50000</v>
      </c>
      <c r="N38" s="115">
        <v>50000</v>
      </c>
      <c r="O38" s="99" t="s">
        <v>252</v>
      </c>
    </row>
    <row r="39" spans="1:15" ht="12" hidden="1" customHeight="1">
      <c r="A39" s="5" t="s">
        <v>30</v>
      </c>
      <c r="B39" s="5">
        <v>3121</v>
      </c>
      <c r="C39" s="6" t="s">
        <v>31</v>
      </c>
      <c r="D39" s="7">
        <v>0</v>
      </c>
      <c r="E39" s="7">
        <v>0</v>
      </c>
      <c r="F39" s="99">
        <v>5000</v>
      </c>
      <c r="G39" s="124" t="str">
        <f t="shared" si="0"/>
        <v>-</v>
      </c>
      <c r="H39" s="99">
        <v>5000</v>
      </c>
      <c r="I39" s="124" t="str">
        <f t="shared" si="1"/>
        <v>-</v>
      </c>
      <c r="J39" s="124">
        <f t="shared" si="2"/>
        <v>1</v>
      </c>
      <c r="K39" s="115">
        <v>5000</v>
      </c>
      <c r="L39" s="115">
        <v>0</v>
      </c>
      <c r="M39" s="115">
        <v>0</v>
      </c>
      <c r="N39" s="115">
        <v>0</v>
      </c>
      <c r="O39" s="99" t="s">
        <v>452</v>
      </c>
    </row>
    <row r="40" spans="1:15" ht="12" customHeight="1">
      <c r="A40" s="8" t="s">
        <v>30</v>
      </c>
      <c r="B40" s="8" t="s">
        <v>2</v>
      </c>
      <c r="C40" s="9" t="s">
        <v>29</v>
      </c>
      <c r="D40" s="10">
        <f t="shared" ref="D40:E40" si="14">SUM(D37:D39)</f>
        <v>240000</v>
      </c>
      <c r="E40" s="10">
        <f t="shared" si="14"/>
        <v>240000</v>
      </c>
      <c r="F40" s="111">
        <f t="shared" ref="F40:H40" si="15">SUM(F37:F39)</f>
        <v>160496</v>
      </c>
      <c r="G40" s="125">
        <f t="shared" si="0"/>
        <v>0.66873333333333329</v>
      </c>
      <c r="H40" s="111">
        <f t="shared" si="15"/>
        <v>181496</v>
      </c>
      <c r="I40" s="125">
        <f t="shared" si="1"/>
        <v>0.75623333333333331</v>
      </c>
      <c r="J40" s="125">
        <f t="shared" si="2"/>
        <v>0.71174901960784309</v>
      </c>
      <c r="K40" s="116">
        <f>SUM(K37:K39)</f>
        <v>255000</v>
      </c>
      <c r="L40" s="116">
        <f>SUM(L37:L39)</f>
        <v>200000</v>
      </c>
      <c r="M40" s="116">
        <f t="shared" ref="M40:N40" si="16">SUM(M37:M39)</f>
        <v>230000</v>
      </c>
      <c r="N40" s="116">
        <f t="shared" si="16"/>
        <v>250000</v>
      </c>
      <c r="O40" s="111"/>
    </row>
    <row r="41" spans="1:15" ht="12" customHeight="1">
      <c r="A41" s="5" t="s">
        <v>27</v>
      </c>
      <c r="B41" s="5">
        <v>2111</v>
      </c>
      <c r="C41" s="6" t="s">
        <v>11</v>
      </c>
      <c r="D41" s="7">
        <v>132000</v>
      </c>
      <c r="E41" s="7">
        <f>132000</f>
        <v>132000</v>
      </c>
      <c r="F41" s="99">
        <v>120998</v>
      </c>
      <c r="G41" s="124">
        <f t="shared" si="0"/>
        <v>0.91665151515151511</v>
      </c>
      <c r="H41" s="99">
        <v>137998</v>
      </c>
      <c r="I41" s="124">
        <f t="shared" si="1"/>
        <v>1.045439393939394</v>
      </c>
      <c r="J41" s="124">
        <f t="shared" si="2"/>
        <v>0.98359230220955096</v>
      </c>
      <c r="K41" s="115">
        <v>140300</v>
      </c>
      <c r="L41" s="115">
        <v>140000</v>
      </c>
      <c r="M41" s="115">
        <v>140000</v>
      </c>
      <c r="N41" s="115">
        <v>140000</v>
      </c>
      <c r="O41" s="99" t="s">
        <v>253</v>
      </c>
    </row>
    <row r="42" spans="1:15" ht="16.2" customHeight="1">
      <c r="A42" s="5" t="s">
        <v>27</v>
      </c>
      <c r="B42" s="5">
        <v>2132</v>
      </c>
      <c r="C42" s="6" t="s">
        <v>28</v>
      </c>
      <c r="D42" s="7">
        <v>240000</v>
      </c>
      <c r="E42" s="7">
        <v>240000</v>
      </c>
      <c r="F42" s="99">
        <v>161000</v>
      </c>
      <c r="G42" s="124">
        <f t="shared" si="0"/>
        <v>0.67083333333333328</v>
      </c>
      <c r="H42" s="99">
        <v>192000</v>
      </c>
      <c r="I42" s="124">
        <f t="shared" si="1"/>
        <v>0.8</v>
      </c>
      <c r="J42" s="124">
        <f t="shared" si="2"/>
        <v>0.8</v>
      </c>
      <c r="K42" s="115">
        <v>240000</v>
      </c>
      <c r="L42" s="115">
        <v>240000</v>
      </c>
      <c r="M42" s="115">
        <v>240000</v>
      </c>
      <c r="N42" s="115">
        <v>240000</v>
      </c>
      <c r="O42" s="99" t="s">
        <v>254</v>
      </c>
    </row>
    <row r="43" spans="1:15" ht="12" customHeight="1">
      <c r="A43" s="8" t="s">
        <v>27</v>
      </c>
      <c r="B43" s="8" t="s">
        <v>2</v>
      </c>
      <c r="C43" s="9" t="s">
        <v>26</v>
      </c>
      <c r="D43" s="10">
        <f t="shared" ref="D43:E43" si="17">SUM(D41:D42)</f>
        <v>372000</v>
      </c>
      <c r="E43" s="10">
        <f t="shared" si="17"/>
        <v>372000</v>
      </c>
      <c r="F43" s="111">
        <f t="shared" ref="F43:H43" si="18">SUM(F41:F42)</f>
        <v>281998</v>
      </c>
      <c r="G43" s="125">
        <f t="shared" si="0"/>
        <v>0.75805913978494621</v>
      </c>
      <c r="H43" s="111">
        <f t="shared" si="18"/>
        <v>329998</v>
      </c>
      <c r="I43" s="125">
        <f t="shared" si="1"/>
        <v>0.88709139784946234</v>
      </c>
      <c r="J43" s="125">
        <f t="shared" si="2"/>
        <v>0.86773073889034968</v>
      </c>
      <c r="K43" s="116">
        <f>SUM(K41:K42)</f>
        <v>380300</v>
      </c>
      <c r="L43" s="116">
        <f>SUM(L41:L42)</f>
        <v>380000</v>
      </c>
      <c r="M43" s="116">
        <f t="shared" ref="M43:N43" si="19">SUM(M41:M42)</f>
        <v>380000</v>
      </c>
      <c r="N43" s="116">
        <f t="shared" si="19"/>
        <v>380000</v>
      </c>
      <c r="O43" s="111"/>
    </row>
    <row r="44" spans="1:15" ht="12" customHeight="1">
      <c r="A44" s="5" t="s">
        <v>24</v>
      </c>
      <c r="B44" s="5">
        <v>3122</v>
      </c>
      <c r="C44" s="6" t="s">
        <v>25</v>
      </c>
      <c r="D44" s="7">
        <v>3800000</v>
      </c>
      <c r="E44" s="7">
        <v>3800000</v>
      </c>
      <c r="F44" s="99">
        <v>1125000</v>
      </c>
      <c r="G44" s="124">
        <f t="shared" si="0"/>
        <v>0.29605263157894735</v>
      </c>
      <c r="H44" s="99">
        <v>1125000</v>
      </c>
      <c r="I44" s="124">
        <f t="shared" si="1"/>
        <v>0.29605263157894735</v>
      </c>
      <c r="J44" s="124">
        <f t="shared" si="2"/>
        <v>0.29605263157894735</v>
      </c>
      <c r="K44" s="287">
        <v>3800000</v>
      </c>
      <c r="L44" s="115">
        <v>1900000</v>
      </c>
      <c r="M44" s="115">
        <v>0</v>
      </c>
      <c r="N44" s="115">
        <v>0</v>
      </c>
      <c r="O44" s="99" t="s">
        <v>255</v>
      </c>
    </row>
    <row r="45" spans="1:15" ht="12" customHeight="1">
      <c r="A45" s="8" t="s">
        <v>24</v>
      </c>
      <c r="B45" s="8" t="s">
        <v>2</v>
      </c>
      <c r="C45" s="9" t="s">
        <v>23</v>
      </c>
      <c r="D45" s="10">
        <f t="shared" ref="D45:E45" si="20">SUM(D44)</f>
        <v>3800000</v>
      </c>
      <c r="E45" s="10">
        <f t="shared" si="20"/>
        <v>3800000</v>
      </c>
      <c r="F45" s="111">
        <f t="shared" ref="F45:H45" si="21">SUM(F44)</f>
        <v>1125000</v>
      </c>
      <c r="G45" s="125">
        <f t="shared" si="0"/>
        <v>0.29605263157894735</v>
      </c>
      <c r="H45" s="111">
        <f t="shared" si="21"/>
        <v>1125000</v>
      </c>
      <c r="I45" s="125">
        <f t="shared" si="1"/>
        <v>0.29605263157894735</v>
      </c>
      <c r="J45" s="125">
        <f t="shared" si="2"/>
        <v>0.29605263157894735</v>
      </c>
      <c r="K45" s="116">
        <f>SUM(K44)</f>
        <v>3800000</v>
      </c>
      <c r="L45" s="116">
        <f>SUM(L44)</f>
        <v>1900000</v>
      </c>
      <c r="M45" s="116">
        <f t="shared" ref="M45:N45" si="22">SUM(M44)</f>
        <v>0</v>
      </c>
      <c r="N45" s="116">
        <f t="shared" si="22"/>
        <v>0</v>
      </c>
      <c r="O45" s="111"/>
    </row>
    <row r="46" spans="1:15" ht="12" customHeight="1">
      <c r="A46" s="5" t="s">
        <v>22</v>
      </c>
      <c r="B46" s="5">
        <v>2111</v>
      </c>
      <c r="C46" s="6" t="s">
        <v>11</v>
      </c>
      <c r="D46" s="7">
        <v>15000</v>
      </c>
      <c r="E46" s="7">
        <v>15000</v>
      </c>
      <c r="F46" s="99">
        <v>0</v>
      </c>
      <c r="G46" s="124">
        <f t="shared" si="0"/>
        <v>0</v>
      </c>
      <c r="H46" s="99">
        <v>15000</v>
      </c>
      <c r="I46" s="124">
        <f t="shared" si="1"/>
        <v>1</v>
      </c>
      <c r="J46" s="124">
        <f t="shared" si="2"/>
        <v>1</v>
      </c>
      <c r="K46" s="115">
        <v>15000</v>
      </c>
      <c r="L46" s="115">
        <v>15000</v>
      </c>
      <c r="M46" s="115">
        <v>15000</v>
      </c>
      <c r="N46" s="115">
        <v>15000</v>
      </c>
      <c r="O46" s="99" t="s">
        <v>256</v>
      </c>
    </row>
    <row r="47" spans="1:15" ht="12" customHeight="1">
      <c r="A47" s="8" t="s">
        <v>22</v>
      </c>
      <c r="B47" s="8" t="s">
        <v>2</v>
      </c>
      <c r="C47" s="9" t="s">
        <v>21</v>
      </c>
      <c r="D47" s="10">
        <f t="shared" ref="D47:E47" si="23">SUM(D46)</f>
        <v>15000</v>
      </c>
      <c r="E47" s="10">
        <f t="shared" si="23"/>
        <v>15000</v>
      </c>
      <c r="F47" s="111">
        <f t="shared" ref="F47:H47" si="24">SUM(F46)</f>
        <v>0</v>
      </c>
      <c r="G47" s="125">
        <f t="shared" si="0"/>
        <v>0</v>
      </c>
      <c r="H47" s="111">
        <f t="shared" si="24"/>
        <v>15000</v>
      </c>
      <c r="I47" s="125">
        <f t="shared" si="1"/>
        <v>1</v>
      </c>
      <c r="J47" s="125">
        <f t="shared" si="2"/>
        <v>1</v>
      </c>
      <c r="K47" s="116">
        <f>SUM(K46)</f>
        <v>15000</v>
      </c>
      <c r="L47" s="116">
        <f>L46</f>
        <v>15000</v>
      </c>
      <c r="M47" s="116">
        <f t="shared" ref="M47:N47" si="25">M46</f>
        <v>15000</v>
      </c>
      <c r="N47" s="116">
        <f t="shared" si="25"/>
        <v>15000</v>
      </c>
      <c r="O47" s="111"/>
    </row>
    <row r="48" spans="1:15" ht="12" customHeight="1">
      <c r="A48" s="5" t="s">
        <v>20</v>
      </c>
      <c r="B48" s="5">
        <v>2111</v>
      </c>
      <c r="C48" s="6" t="s">
        <v>11</v>
      </c>
      <c r="D48" s="7">
        <v>172500</v>
      </c>
      <c r="E48" s="7">
        <v>172500</v>
      </c>
      <c r="F48" s="99">
        <v>129052.5</v>
      </c>
      <c r="G48" s="124">
        <f t="shared" si="0"/>
        <v>0.74813043478260866</v>
      </c>
      <c r="H48" s="99">
        <v>129052.5</v>
      </c>
      <c r="I48" s="124">
        <f t="shared" si="1"/>
        <v>0.74813043478260866</v>
      </c>
      <c r="J48" s="124">
        <f t="shared" si="2"/>
        <v>0.74813043478260866</v>
      </c>
      <c r="K48" s="115">
        <v>172500</v>
      </c>
      <c r="L48" s="115">
        <v>170000</v>
      </c>
      <c r="M48" s="115">
        <v>170000</v>
      </c>
      <c r="N48" s="115">
        <v>170000</v>
      </c>
      <c r="O48" s="99" t="s">
        <v>257</v>
      </c>
    </row>
    <row r="49" spans="1:17" ht="12" customHeight="1">
      <c r="A49" s="5">
        <v>3723</v>
      </c>
      <c r="B49" s="5">
        <v>2329</v>
      </c>
      <c r="C49" s="6" t="s">
        <v>293</v>
      </c>
      <c r="D49" s="7">
        <v>0</v>
      </c>
      <c r="E49" s="7">
        <v>0</v>
      </c>
      <c r="F49" s="99">
        <v>1861.02</v>
      </c>
      <c r="G49" s="124" t="str">
        <f t="shared" si="0"/>
        <v>-</v>
      </c>
      <c r="H49" s="99">
        <v>1861.02</v>
      </c>
      <c r="I49" s="124" t="str">
        <f t="shared" si="1"/>
        <v>-</v>
      </c>
      <c r="J49" s="124" t="str">
        <f t="shared" si="2"/>
        <v>-</v>
      </c>
      <c r="K49" s="115">
        <v>0</v>
      </c>
      <c r="L49" s="115">
        <v>0</v>
      </c>
      <c r="M49" s="115">
        <v>0</v>
      </c>
      <c r="N49" s="115">
        <v>0</v>
      </c>
      <c r="O49" s="99"/>
    </row>
    <row r="50" spans="1:17" ht="16.2" customHeight="1">
      <c r="A50" s="8" t="s">
        <v>20</v>
      </c>
      <c r="B50" s="8" t="s">
        <v>2</v>
      </c>
      <c r="C50" s="9" t="s">
        <v>19</v>
      </c>
      <c r="D50" s="10">
        <f t="shared" ref="D50:E50" si="26">SUM(D48)</f>
        <v>172500</v>
      </c>
      <c r="E50" s="10">
        <f t="shared" si="26"/>
        <v>172500</v>
      </c>
      <c r="F50" s="111">
        <f>F48+F49</f>
        <v>130913.52</v>
      </c>
      <c r="G50" s="125">
        <f t="shared" si="0"/>
        <v>0.75891895652173913</v>
      </c>
      <c r="H50" s="111">
        <f>H48+H49</f>
        <v>130913.52</v>
      </c>
      <c r="I50" s="125">
        <f t="shared" si="1"/>
        <v>0.75891895652173913</v>
      </c>
      <c r="J50" s="125">
        <f t="shared" si="2"/>
        <v>0.75891895652173913</v>
      </c>
      <c r="K50" s="116">
        <f>K48+K49</f>
        <v>172500</v>
      </c>
      <c r="L50" s="116">
        <f>SUM(L48:L49)</f>
        <v>170000</v>
      </c>
      <c r="M50" s="116">
        <f t="shared" ref="M50:N50" si="27">SUM(M48:M49)</f>
        <v>170000</v>
      </c>
      <c r="N50" s="116">
        <f t="shared" si="27"/>
        <v>170000</v>
      </c>
      <c r="O50" s="111"/>
    </row>
    <row r="51" spans="1:17" ht="12" customHeight="1">
      <c r="A51" s="5" t="s">
        <v>6</v>
      </c>
      <c r="B51" s="5">
        <v>2141</v>
      </c>
      <c r="C51" s="6" t="s">
        <v>7</v>
      </c>
      <c r="D51" s="7">
        <v>75000</v>
      </c>
      <c r="E51" s="7">
        <v>75000</v>
      </c>
      <c r="F51" s="99">
        <v>78502.84</v>
      </c>
      <c r="G51" s="124">
        <f t="shared" si="0"/>
        <v>1.0467045333333334</v>
      </c>
      <c r="H51" s="99">
        <v>108504.27</v>
      </c>
      <c r="I51" s="124">
        <f t="shared" si="1"/>
        <v>1.4467236000000001</v>
      </c>
      <c r="J51" s="124">
        <f t="shared" si="2"/>
        <v>0.98640245454545461</v>
      </c>
      <c r="K51" s="115">
        <v>110000</v>
      </c>
      <c r="L51" s="115">
        <v>100000</v>
      </c>
      <c r="M51" s="115">
        <v>100000</v>
      </c>
      <c r="N51" s="115">
        <v>100000</v>
      </c>
      <c r="O51" s="99" t="s">
        <v>258</v>
      </c>
      <c r="Q51" s="13"/>
    </row>
    <row r="52" spans="1:17" ht="12" customHeight="1">
      <c r="A52" s="8" t="s">
        <v>6</v>
      </c>
      <c r="B52" s="8" t="s">
        <v>2</v>
      </c>
      <c r="C52" s="9" t="s">
        <v>5</v>
      </c>
      <c r="D52" s="10">
        <f t="shared" ref="D52:E52" si="28">SUM(D51)</f>
        <v>75000</v>
      </c>
      <c r="E52" s="10">
        <f t="shared" si="28"/>
        <v>75000</v>
      </c>
      <c r="F52" s="111">
        <f t="shared" ref="F52:H52" si="29">SUM(F51)</f>
        <v>78502.84</v>
      </c>
      <c r="G52" s="125">
        <f t="shared" si="0"/>
        <v>1.0467045333333334</v>
      </c>
      <c r="H52" s="111">
        <f t="shared" si="29"/>
        <v>108504.27</v>
      </c>
      <c r="I52" s="125">
        <f t="shared" si="1"/>
        <v>1.4467236000000001</v>
      </c>
      <c r="J52" s="125">
        <f t="shared" si="2"/>
        <v>0.98640245454545461</v>
      </c>
      <c r="K52" s="116">
        <f>SUM(K51)</f>
        <v>110000</v>
      </c>
      <c r="L52" s="116">
        <f>L51</f>
        <v>100000</v>
      </c>
      <c r="M52" s="116">
        <f t="shared" ref="M52:N52" si="30">M51</f>
        <v>100000</v>
      </c>
      <c r="N52" s="116">
        <f t="shared" si="30"/>
        <v>100000</v>
      </c>
      <c r="O52" s="111"/>
    </row>
    <row r="53" spans="1:17" ht="12" customHeight="1">
      <c r="A53" s="5">
        <v>6330</v>
      </c>
      <c r="B53" s="5">
        <v>4134</v>
      </c>
      <c r="C53" s="6" t="s">
        <v>453</v>
      </c>
      <c r="D53" s="7">
        <v>0</v>
      </c>
      <c r="E53" s="7">
        <v>0</v>
      </c>
      <c r="F53" s="99">
        <v>0</v>
      </c>
      <c r="G53" s="124" t="str">
        <f t="shared" si="0"/>
        <v>-</v>
      </c>
      <c r="H53" s="99">
        <v>1500000</v>
      </c>
      <c r="I53" s="124" t="str">
        <f t="shared" si="1"/>
        <v>-</v>
      </c>
      <c r="J53" s="124" t="str">
        <f t="shared" si="2"/>
        <v>-</v>
      </c>
      <c r="K53" s="115">
        <v>0</v>
      </c>
      <c r="L53" s="115">
        <v>0</v>
      </c>
      <c r="M53" s="115">
        <v>0</v>
      </c>
      <c r="N53" s="115">
        <v>0</v>
      </c>
      <c r="O53" s="99"/>
    </row>
    <row r="54" spans="1:17" ht="12" customHeight="1">
      <c r="A54" s="5" t="s">
        <v>3</v>
      </c>
      <c r="B54" s="5">
        <v>4138</v>
      </c>
      <c r="C54" s="6" t="s">
        <v>4</v>
      </c>
      <c r="D54" s="7">
        <v>0</v>
      </c>
      <c r="E54" s="7">
        <v>0</v>
      </c>
      <c r="F54" s="99">
        <v>115000</v>
      </c>
      <c r="G54" s="124" t="str">
        <f t="shared" si="0"/>
        <v>-</v>
      </c>
      <c r="H54" s="99">
        <v>75000</v>
      </c>
      <c r="I54" s="124" t="str">
        <f t="shared" si="1"/>
        <v>-</v>
      </c>
      <c r="J54" s="124" t="str">
        <f t="shared" si="2"/>
        <v>-</v>
      </c>
      <c r="K54" s="115">
        <v>0</v>
      </c>
      <c r="L54" s="115">
        <v>0</v>
      </c>
      <c r="M54" s="115">
        <v>0</v>
      </c>
      <c r="N54" s="115">
        <v>0</v>
      </c>
      <c r="O54" s="99"/>
    </row>
    <row r="55" spans="1:17" ht="12" customHeight="1">
      <c r="A55" s="8" t="s">
        <v>3</v>
      </c>
      <c r="B55" s="8" t="s">
        <v>2</v>
      </c>
      <c r="C55" s="9" t="s">
        <v>1</v>
      </c>
      <c r="D55" s="10">
        <f>SUM(D53:D54)</f>
        <v>0</v>
      </c>
      <c r="E55" s="10">
        <f>SUM(E53:E54)</f>
        <v>0</v>
      </c>
      <c r="F55" s="111">
        <f>SUM(F53:F54)</f>
        <v>115000</v>
      </c>
      <c r="G55" s="125" t="str">
        <f t="shared" si="0"/>
        <v>-</v>
      </c>
      <c r="H55" s="111">
        <f>SUM(H53:H54)</f>
        <v>1575000</v>
      </c>
      <c r="I55" s="125" t="str">
        <f t="shared" si="1"/>
        <v>-</v>
      </c>
      <c r="J55" s="125" t="str">
        <f t="shared" si="2"/>
        <v>-</v>
      </c>
      <c r="K55" s="116">
        <f>SUM(K53:K54)</f>
        <v>0</v>
      </c>
      <c r="L55" s="116" cm="1">
        <f t="array" ref="L55:L56">L53:L54</f>
        <v>0</v>
      </c>
      <c r="M55" s="116" cm="1">
        <f t="array" ref="M55:M56">M53:M54</f>
        <v>0</v>
      </c>
      <c r="N55" s="116" cm="1">
        <f t="array" ref="N55:N56">N53:N54</f>
        <v>0</v>
      </c>
      <c r="O55" s="111"/>
    </row>
    <row r="56" spans="1:17" ht="12" customHeight="1">
      <c r="A56" s="5" t="s">
        <v>159</v>
      </c>
      <c r="B56" s="5" t="s">
        <v>160</v>
      </c>
      <c r="C56" s="6" t="s">
        <v>161</v>
      </c>
      <c r="D56" s="7">
        <v>0</v>
      </c>
      <c r="E56" s="7">
        <v>0</v>
      </c>
      <c r="F56" s="99">
        <v>0</v>
      </c>
      <c r="G56" s="124" t="str">
        <f t="shared" si="0"/>
        <v>-</v>
      </c>
      <c r="H56" s="99">
        <v>0</v>
      </c>
      <c r="I56" s="124" t="str">
        <f t="shared" si="1"/>
        <v>-</v>
      </c>
      <c r="J56" s="124" t="str">
        <f t="shared" si="2"/>
        <v>-</v>
      </c>
      <c r="K56" s="115">
        <v>0</v>
      </c>
      <c r="L56" s="115">
        <v>0</v>
      </c>
      <c r="M56" s="115">
        <v>0</v>
      </c>
      <c r="N56" s="115">
        <v>0</v>
      </c>
      <c r="O56" s="99"/>
    </row>
    <row r="57" spans="1:17" ht="12" customHeight="1">
      <c r="A57" s="8" t="s">
        <v>159</v>
      </c>
      <c r="B57" s="8" t="s">
        <v>2</v>
      </c>
      <c r="C57" s="9" t="s">
        <v>162</v>
      </c>
      <c r="D57" s="10">
        <f t="shared" ref="D57" si="31">SUM(D56)</f>
        <v>0</v>
      </c>
      <c r="E57" s="10">
        <f t="shared" ref="E57" si="32">SUM(E56)</f>
        <v>0</v>
      </c>
      <c r="F57" s="111">
        <f t="shared" ref="F57:H57" si="33">SUM(F56)</f>
        <v>0</v>
      </c>
      <c r="G57" s="125" t="str">
        <f t="shared" si="0"/>
        <v>-</v>
      </c>
      <c r="H57" s="111">
        <f t="shared" si="33"/>
        <v>0</v>
      </c>
      <c r="I57" s="125" t="str">
        <f t="shared" si="1"/>
        <v>-</v>
      </c>
      <c r="J57" s="125" t="str">
        <f t="shared" si="2"/>
        <v>-</v>
      </c>
      <c r="K57" s="116">
        <f>SUM(K56)</f>
        <v>0</v>
      </c>
      <c r="L57" s="116">
        <f>L56</f>
        <v>0</v>
      </c>
      <c r="M57" s="116">
        <f t="shared" ref="M57:N57" si="34">M56</f>
        <v>0</v>
      </c>
      <c r="N57" s="116">
        <f t="shared" si="34"/>
        <v>0</v>
      </c>
      <c r="O57" s="111"/>
    </row>
    <row r="58" spans="1:17" ht="12" customHeight="1">
      <c r="A58" s="8">
        <v>8123</v>
      </c>
      <c r="B58" s="8" t="s">
        <v>2</v>
      </c>
      <c r="C58" s="9" t="s">
        <v>467</v>
      </c>
      <c r="D58" s="10"/>
      <c r="E58" s="10"/>
      <c r="F58" s="111"/>
      <c r="G58" s="125"/>
      <c r="H58" s="111"/>
      <c r="I58" s="125"/>
      <c r="J58" s="125"/>
      <c r="K58" s="116"/>
      <c r="L58" s="116">
        <v>2000000</v>
      </c>
      <c r="M58" s="116">
        <v>0</v>
      </c>
      <c r="N58" s="116">
        <v>0</v>
      </c>
      <c r="O58" s="291" t="s">
        <v>476</v>
      </c>
    </row>
    <row r="59" spans="1:17" ht="12" customHeight="1">
      <c r="A59" s="8">
        <v>8888</v>
      </c>
      <c r="B59" s="8"/>
      <c r="C59" s="9" t="s">
        <v>478</v>
      </c>
      <c r="D59" s="10"/>
      <c r="E59" s="10"/>
      <c r="F59" s="111"/>
      <c r="G59" s="125"/>
      <c r="H59" s="111"/>
      <c r="I59" s="125"/>
      <c r="J59" s="125"/>
      <c r="K59" s="116">
        <v>0</v>
      </c>
      <c r="L59" s="116">
        <v>0</v>
      </c>
      <c r="M59" s="116">
        <v>5000000</v>
      </c>
      <c r="N59" s="116">
        <v>0</v>
      </c>
      <c r="O59" s="291"/>
    </row>
    <row r="60" spans="1:17" ht="12" customHeight="1">
      <c r="A60" s="4" t="s">
        <v>0</v>
      </c>
      <c r="B60" s="4"/>
      <c r="C60" s="4"/>
      <c r="D60" s="11">
        <f>D26+D29+D32+D34+D36+D40+D43+D45+D47+D50++D52+D55+D57</f>
        <v>18405100</v>
      </c>
      <c r="E60" s="11">
        <f>E26+E29+E32+E34+E36+E40+E43+E45+E47+E50++E52+E55+E57</f>
        <v>18405100</v>
      </c>
      <c r="F60" s="11">
        <f>F26+F29+F32+F34+F36+F40+F43+F45+F47+F50++F52+F55+F57</f>
        <v>12441374.820000002</v>
      </c>
      <c r="G60" s="126">
        <f t="shared" si="0"/>
        <v>0.67597431255467244</v>
      </c>
      <c r="H60" s="11">
        <f>H26+H29+H32+H34+H36+H40+H43+H45+H47+H50++H52+H55+H57</f>
        <v>15550664.200000003</v>
      </c>
      <c r="I60" s="126">
        <f t="shared" si="1"/>
        <v>0.84491060629934112</v>
      </c>
      <c r="J60" s="126">
        <f t="shared" si="2"/>
        <v>0.802258827049671</v>
      </c>
      <c r="K60" s="117">
        <f>K26+K29+K32+K34+K36+K40+K43+K45+K47+K50++K52+K55+K57</f>
        <v>19383600</v>
      </c>
      <c r="L60" s="117">
        <f>L26+L29+L32+L34+L36+L40+L43+L45+L47+L50++L52+L55+L57+L58</f>
        <v>19048000</v>
      </c>
      <c r="M60" s="117">
        <f>M26+M29+M32+M34+M36+M40+M43+M45+M47+M50++M52+M55+M57+M58+M59</f>
        <v>20428000</v>
      </c>
      <c r="N60" s="117">
        <f t="shared" ref="M60:N60" si="35">N26+N29+N32+N34+N36+N40+N43+N45+N47+N50++N52+N55+N57+N58</f>
        <v>15608000</v>
      </c>
      <c r="O60" s="11"/>
    </row>
    <row r="61" spans="1:17">
      <c r="L61" s="121"/>
      <c r="M61" s="121"/>
      <c r="N61" s="121"/>
    </row>
    <row r="62" spans="1:17">
      <c r="C62" s="1"/>
      <c r="E62" s="13"/>
      <c r="F62" s="13"/>
      <c r="G62" s="13"/>
      <c r="H62" s="13"/>
      <c r="I62" s="13"/>
      <c r="J62" s="13"/>
      <c r="K62" s="121"/>
      <c r="L62" s="121"/>
      <c r="M62" s="121"/>
      <c r="N62" s="121"/>
    </row>
    <row r="63" spans="1:17" ht="13.8">
      <c r="C63" s="2"/>
      <c r="M63" s="293"/>
    </row>
    <row r="64" spans="1:17">
      <c r="C64" s="2"/>
    </row>
    <row r="65" spans="3:3">
      <c r="C65" s="2"/>
    </row>
    <row r="66" spans="3:3">
      <c r="C66" s="2"/>
    </row>
    <row r="67" spans="3:3">
      <c r="C67" s="1"/>
    </row>
    <row r="68" spans="3:3">
      <c r="C68" s="2"/>
    </row>
    <row r="69" spans="3:3">
      <c r="C69" s="2"/>
    </row>
    <row r="70" spans="3:3">
      <c r="C70" s="2"/>
    </row>
    <row r="71" spans="3:3">
      <c r="C71" s="2"/>
    </row>
    <row r="72" spans="3:3">
      <c r="C72" s="2"/>
    </row>
    <row r="73" spans="3:3">
      <c r="C73" s="2"/>
    </row>
    <row r="74" spans="3:3">
      <c r="C74" s="2"/>
    </row>
    <row r="75" spans="3:3">
      <c r="C75" s="1"/>
    </row>
    <row r="76" spans="3:3">
      <c r="C76" s="1"/>
    </row>
    <row r="79" spans="3:3">
      <c r="C79" s="14"/>
    </row>
    <row r="80" spans="3:3">
      <c r="C80" s="14"/>
    </row>
    <row r="81" spans="3:3">
      <c r="C81" s="14"/>
    </row>
  </sheetData>
  <autoFilter ref="A2:E2" xr:uid="{00000000-0009-0000-0000-000004000000}"/>
  <pageMargins left="0" right="0" top="0" bottom="0" header="0" footer="0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/>
  </sheetPr>
  <dimension ref="A1:Q141"/>
  <sheetViews>
    <sheetView showGridLines="0" zoomScale="80" zoomScaleNormal="80" workbookViewId="0">
      <pane xSplit="3" ySplit="2" topLeftCell="D117" activePane="bottomRight" state="frozen"/>
      <selection pane="topRight" activeCell="D1" sqref="D1"/>
      <selection pane="bottomLeft" activeCell="A3" sqref="A3"/>
      <selection pane="bottomRight" activeCell="L88" sqref="L88"/>
    </sheetView>
  </sheetViews>
  <sheetFormatPr defaultColWidth="9.109375" defaultRowHeight="10.199999999999999"/>
  <cols>
    <col min="1" max="2" width="12.6640625" style="1" customWidth="1"/>
    <col min="3" max="3" width="69.109375" style="1" customWidth="1"/>
    <col min="4" max="6" width="18.6640625" style="1" hidden="1" customWidth="1"/>
    <col min="7" max="7" width="18" style="107" hidden="1" customWidth="1"/>
    <col min="8" max="8" width="23.5546875" style="1" hidden="1" customWidth="1"/>
    <col min="9" max="10" width="18" style="107" hidden="1" customWidth="1"/>
    <col min="11" max="14" width="23.5546875" style="1" customWidth="1"/>
    <col min="15" max="15" width="72.5546875" style="1" hidden="1" customWidth="1"/>
    <col min="16" max="16" width="27.44140625" style="1" customWidth="1"/>
    <col min="17" max="16384" width="9.109375" style="1"/>
  </cols>
  <sheetData>
    <row r="1" spans="1:15" ht="20.100000000000001" customHeight="1" thickBot="1">
      <c r="A1" s="4" t="s">
        <v>60</v>
      </c>
      <c r="B1" s="4"/>
      <c r="C1" s="4"/>
      <c r="D1" s="4"/>
      <c r="E1" s="4"/>
      <c r="F1" s="4"/>
      <c r="G1" s="101"/>
      <c r="H1" s="4"/>
      <c r="I1" s="101"/>
      <c r="J1" s="101"/>
      <c r="K1" s="4"/>
      <c r="L1" s="4"/>
      <c r="M1" s="4"/>
      <c r="N1" s="4"/>
      <c r="O1" s="4"/>
    </row>
    <row r="2" spans="1:15" ht="26.1" customHeight="1">
      <c r="A2" s="12" t="s">
        <v>18</v>
      </c>
      <c r="B2" s="12" t="s">
        <v>17</v>
      </c>
      <c r="C2" s="12" t="s">
        <v>16</v>
      </c>
      <c r="D2" s="12" t="s">
        <v>288</v>
      </c>
      <c r="E2" s="12" t="s">
        <v>289</v>
      </c>
      <c r="F2" s="12" t="s">
        <v>290</v>
      </c>
      <c r="G2" s="109" t="s">
        <v>294</v>
      </c>
      <c r="H2" s="12" t="s">
        <v>298</v>
      </c>
      <c r="I2" s="109" t="s">
        <v>299</v>
      </c>
      <c r="J2" s="109" t="s">
        <v>300</v>
      </c>
      <c r="K2" s="69" t="s">
        <v>289</v>
      </c>
      <c r="L2" s="12" t="s">
        <v>447</v>
      </c>
      <c r="M2" s="12" t="s">
        <v>474</v>
      </c>
      <c r="N2" s="12" t="s">
        <v>475</v>
      </c>
      <c r="O2" s="118" t="s">
        <v>244</v>
      </c>
    </row>
    <row r="3" spans="1:15" ht="12" customHeight="1">
      <c r="A3" s="5" t="s">
        <v>38</v>
      </c>
      <c r="B3" s="5" t="s">
        <v>61</v>
      </c>
      <c r="C3" s="6" t="s">
        <v>62</v>
      </c>
      <c r="D3" s="7">
        <v>5500</v>
      </c>
      <c r="E3" s="7">
        <v>7137</v>
      </c>
      <c r="F3" s="7">
        <v>7137</v>
      </c>
      <c r="G3" s="102">
        <f>IFERROR(F3/E3,"-")</f>
        <v>1</v>
      </c>
      <c r="H3" s="7">
        <v>7137</v>
      </c>
      <c r="I3" s="123">
        <f>IFERROR(H3/E3,"-")</f>
        <v>1</v>
      </c>
      <c r="J3" s="123">
        <f>IFERROR(H3/K3,"-")</f>
        <v>1</v>
      </c>
      <c r="K3" s="7">
        <f>E3</f>
        <v>7137</v>
      </c>
      <c r="L3" s="7">
        <v>7000</v>
      </c>
      <c r="M3" s="7">
        <v>7000</v>
      </c>
      <c r="N3" s="7">
        <v>7000</v>
      </c>
      <c r="O3" s="7" t="s">
        <v>260</v>
      </c>
    </row>
    <row r="4" spans="1:15" ht="12" customHeight="1">
      <c r="A4" s="127" t="s">
        <v>38</v>
      </c>
      <c r="B4" s="127" t="s">
        <v>63</v>
      </c>
      <c r="C4" s="114" t="s">
        <v>64</v>
      </c>
      <c r="D4" s="131">
        <v>150000</v>
      </c>
      <c r="E4" s="131">
        <v>148363</v>
      </c>
      <c r="F4" s="131">
        <v>51932.800000000003</v>
      </c>
      <c r="G4" s="102">
        <f t="shared" ref="G4:G52" si="0">IFERROR(F4/E4,"-")</f>
        <v>0.35003875629368508</v>
      </c>
      <c r="H4" s="131">
        <v>51932.800000000003</v>
      </c>
      <c r="I4" s="102">
        <f t="shared" ref="I4:I68" si="1">IFERROR(H4/E4,"-")</f>
        <v>0.35003875629368508</v>
      </c>
      <c r="J4" s="102">
        <f t="shared" ref="J4:J68" si="2">IFERROR(H4/K4,"-")</f>
        <v>0.35003875629368508</v>
      </c>
      <c r="K4" s="131">
        <f t="shared" ref="K4:L62" si="3">E4</f>
        <v>148363</v>
      </c>
      <c r="L4" s="131">
        <v>150000</v>
      </c>
      <c r="M4" s="131">
        <v>150000</v>
      </c>
      <c r="N4" s="131">
        <v>150000</v>
      </c>
      <c r="O4" s="99" t="s">
        <v>259</v>
      </c>
    </row>
    <row r="5" spans="1:15" ht="12" customHeight="1">
      <c r="A5" s="8" t="s">
        <v>38</v>
      </c>
      <c r="B5" s="8" t="s">
        <v>2</v>
      </c>
      <c r="C5" s="9" t="s">
        <v>37</v>
      </c>
      <c r="D5" s="10">
        <f t="shared" ref="D5" si="4">SUM(D3:D4)</f>
        <v>155500</v>
      </c>
      <c r="E5" s="10">
        <f t="shared" ref="E5" si="5">SUM(E3:E4)</f>
        <v>155500</v>
      </c>
      <c r="F5" s="10">
        <f t="shared" ref="F5:H5" si="6">SUM(F3:F4)</f>
        <v>59069.8</v>
      </c>
      <c r="G5" s="103">
        <f t="shared" si="0"/>
        <v>0.3798700964630225</v>
      </c>
      <c r="H5" s="10">
        <f t="shared" si="6"/>
        <v>59069.8</v>
      </c>
      <c r="I5" s="103">
        <f t="shared" si="1"/>
        <v>0.3798700964630225</v>
      </c>
      <c r="J5" s="103">
        <f t="shared" si="2"/>
        <v>0.3798700964630225</v>
      </c>
      <c r="K5" s="10">
        <f>SUM(K3:K4)</f>
        <v>155500</v>
      </c>
      <c r="L5" s="10">
        <f>SUM(L3:L4)</f>
        <v>157000</v>
      </c>
      <c r="M5" s="10">
        <f t="shared" ref="M5:N5" si="7">SUM(M3:M4)</f>
        <v>157000</v>
      </c>
      <c r="N5" s="10">
        <f t="shared" si="7"/>
        <v>157000</v>
      </c>
      <c r="O5" s="10"/>
    </row>
    <row r="6" spans="1:15" ht="12" customHeight="1">
      <c r="A6" s="5" t="s">
        <v>36</v>
      </c>
      <c r="B6" s="5" t="s">
        <v>65</v>
      </c>
      <c r="C6" s="6" t="s">
        <v>66</v>
      </c>
      <c r="D6" s="7">
        <v>20000</v>
      </c>
      <c r="E6" s="7">
        <v>10000</v>
      </c>
      <c r="F6" s="7">
        <v>0</v>
      </c>
      <c r="G6" s="102">
        <f t="shared" si="0"/>
        <v>0</v>
      </c>
      <c r="H6" s="7">
        <v>0</v>
      </c>
      <c r="I6" s="102">
        <f t="shared" si="1"/>
        <v>0</v>
      </c>
      <c r="J6" s="102">
        <f t="shared" si="2"/>
        <v>0</v>
      </c>
      <c r="K6" s="7">
        <f t="shared" si="3"/>
        <v>10000</v>
      </c>
      <c r="L6" s="7">
        <v>10000</v>
      </c>
      <c r="M6" s="7">
        <v>10000</v>
      </c>
      <c r="N6" s="7">
        <v>10000</v>
      </c>
      <c r="O6" s="7" t="s">
        <v>261</v>
      </c>
    </row>
    <row r="7" spans="1:15" ht="12" customHeight="1">
      <c r="A7" s="5" t="s">
        <v>36</v>
      </c>
      <c r="B7" s="5" t="s">
        <v>63</v>
      </c>
      <c r="C7" s="6" t="s">
        <v>64</v>
      </c>
      <c r="D7" s="7">
        <v>20000</v>
      </c>
      <c r="E7" s="7">
        <v>30000</v>
      </c>
      <c r="F7" s="7">
        <v>30000</v>
      </c>
      <c r="G7" s="102">
        <f t="shared" si="0"/>
        <v>1</v>
      </c>
      <c r="H7" s="7">
        <v>30000</v>
      </c>
      <c r="I7" s="102">
        <f t="shared" si="1"/>
        <v>1</v>
      </c>
      <c r="J7" s="102">
        <f t="shared" si="2"/>
        <v>1</v>
      </c>
      <c r="K7" s="7">
        <f t="shared" si="3"/>
        <v>30000</v>
      </c>
      <c r="L7" s="131">
        <v>0</v>
      </c>
      <c r="M7" s="131">
        <v>0</v>
      </c>
      <c r="N7" s="131">
        <v>0</v>
      </c>
      <c r="O7" s="7"/>
    </row>
    <row r="8" spans="1:15" ht="12" customHeight="1">
      <c r="A8" s="5" t="s">
        <v>36</v>
      </c>
      <c r="B8" s="5" t="s">
        <v>67</v>
      </c>
      <c r="C8" s="6" t="s">
        <v>68</v>
      </c>
      <c r="D8" s="15">
        <v>600000</v>
      </c>
      <c r="E8" s="15">
        <v>600000</v>
      </c>
      <c r="F8" s="15">
        <v>0</v>
      </c>
      <c r="G8" s="104">
        <f t="shared" si="0"/>
        <v>0</v>
      </c>
      <c r="H8" s="15">
        <v>637492.37</v>
      </c>
      <c r="I8" s="104">
        <f t="shared" si="1"/>
        <v>1.0624872833333334</v>
      </c>
      <c r="J8" s="104">
        <f t="shared" si="2"/>
        <v>0.99998803137254899</v>
      </c>
      <c r="K8" s="15">
        <v>637500</v>
      </c>
      <c r="L8" s="132">
        <f>800000-500000</f>
        <v>300000</v>
      </c>
      <c r="M8" s="132">
        <f>400000+1000000</f>
        <v>1400000</v>
      </c>
      <c r="N8" s="132">
        <v>425000</v>
      </c>
      <c r="O8" s="15" t="s">
        <v>471</v>
      </c>
    </row>
    <row r="9" spans="1:15" ht="12" customHeight="1">
      <c r="A9" s="8" t="s">
        <v>36</v>
      </c>
      <c r="B9" s="8" t="s">
        <v>2</v>
      </c>
      <c r="C9" s="9" t="s">
        <v>35</v>
      </c>
      <c r="D9" s="10">
        <f>SUM(D6:D8)</f>
        <v>640000</v>
      </c>
      <c r="E9" s="10">
        <f>SUM(E6:E8)</f>
        <v>640000</v>
      </c>
      <c r="F9" s="10">
        <f>SUM(F6:F8)</f>
        <v>30000</v>
      </c>
      <c r="G9" s="103">
        <f t="shared" si="0"/>
        <v>4.6875E-2</v>
      </c>
      <c r="H9" s="10">
        <f>SUM(H6:H8)</f>
        <v>667492.37</v>
      </c>
      <c r="I9" s="103">
        <f t="shared" si="1"/>
        <v>1.0429568281249999</v>
      </c>
      <c r="J9" s="103">
        <f t="shared" si="2"/>
        <v>0.98522859040590405</v>
      </c>
      <c r="K9" s="10">
        <f>SUM(K6:K8)</f>
        <v>677500</v>
      </c>
      <c r="L9" s="10">
        <f>SUM(L6:L8)</f>
        <v>310000</v>
      </c>
      <c r="M9" s="10">
        <f t="shared" ref="M9:N9" si="8">SUM(M6:M8)</f>
        <v>1410000</v>
      </c>
      <c r="N9" s="10">
        <f t="shared" si="8"/>
        <v>435000</v>
      </c>
      <c r="O9" s="10"/>
    </row>
    <row r="10" spans="1:15" ht="12" customHeight="1">
      <c r="A10" s="5" t="s">
        <v>71</v>
      </c>
      <c r="B10" s="5" t="s">
        <v>72</v>
      </c>
      <c r="C10" s="6" t="s">
        <v>73</v>
      </c>
      <c r="D10" s="7">
        <v>1600</v>
      </c>
      <c r="E10" s="7">
        <v>1600</v>
      </c>
      <c r="F10" s="7">
        <v>0</v>
      </c>
      <c r="G10" s="102">
        <f t="shared" si="0"/>
        <v>0</v>
      </c>
      <c r="H10" s="7">
        <v>0</v>
      </c>
      <c r="I10" s="102">
        <f t="shared" si="1"/>
        <v>0</v>
      </c>
      <c r="J10" s="102">
        <f t="shared" si="2"/>
        <v>0</v>
      </c>
      <c r="K10" s="7">
        <f t="shared" si="3"/>
        <v>1600</v>
      </c>
      <c r="L10" s="7">
        <v>2000</v>
      </c>
      <c r="M10" s="7">
        <v>2000</v>
      </c>
      <c r="N10" s="7">
        <v>2000</v>
      </c>
      <c r="O10" s="7" t="s">
        <v>262</v>
      </c>
    </row>
    <row r="11" spans="1:15" ht="12" customHeight="1">
      <c r="A11" s="8" t="s">
        <v>71</v>
      </c>
      <c r="B11" s="8" t="s">
        <v>2</v>
      </c>
      <c r="C11" s="9" t="s">
        <v>74</v>
      </c>
      <c r="D11" s="10">
        <f>SUM(D10)</f>
        <v>1600</v>
      </c>
      <c r="E11" s="10">
        <f t="shared" ref="E11" si="9">SUM(E10)</f>
        <v>1600</v>
      </c>
      <c r="F11" s="10">
        <f t="shared" ref="F11:H11" si="10">SUM(F10)</f>
        <v>0</v>
      </c>
      <c r="G11" s="103">
        <f t="shared" si="0"/>
        <v>0</v>
      </c>
      <c r="H11" s="10">
        <f t="shared" si="10"/>
        <v>0</v>
      </c>
      <c r="I11" s="103">
        <f t="shared" si="1"/>
        <v>0</v>
      </c>
      <c r="J11" s="103">
        <f t="shared" si="2"/>
        <v>0</v>
      </c>
      <c r="K11" s="10">
        <f t="shared" si="3"/>
        <v>1600</v>
      </c>
      <c r="L11" s="10">
        <f>L10</f>
        <v>2000</v>
      </c>
      <c r="M11" s="10">
        <f t="shared" ref="M11:N11" si="11">M10</f>
        <v>2000</v>
      </c>
      <c r="N11" s="10">
        <f t="shared" si="11"/>
        <v>2000</v>
      </c>
      <c r="O11" s="10"/>
    </row>
    <row r="12" spans="1:15" ht="12" customHeight="1">
      <c r="A12" s="127" t="s">
        <v>10</v>
      </c>
      <c r="B12" s="127" t="s">
        <v>75</v>
      </c>
      <c r="C12" s="114" t="s">
        <v>76</v>
      </c>
      <c r="D12" s="131">
        <v>635000</v>
      </c>
      <c r="E12" s="131">
        <v>635000</v>
      </c>
      <c r="F12" s="131">
        <v>0</v>
      </c>
      <c r="G12" s="102">
        <f t="shared" si="0"/>
        <v>0</v>
      </c>
      <c r="H12" s="131">
        <v>0</v>
      </c>
      <c r="I12" s="102">
        <f t="shared" si="1"/>
        <v>0</v>
      </c>
      <c r="J12" s="102" t="str">
        <f t="shared" si="2"/>
        <v>-</v>
      </c>
      <c r="K12" s="131">
        <v>0</v>
      </c>
      <c r="L12" s="131">
        <v>0</v>
      </c>
      <c r="M12" s="131">
        <v>0</v>
      </c>
      <c r="N12" s="131">
        <v>0</v>
      </c>
      <c r="O12" s="7" t="s">
        <v>460</v>
      </c>
    </row>
    <row r="13" spans="1:15" ht="12" customHeight="1">
      <c r="A13" s="8" t="s">
        <v>10</v>
      </c>
      <c r="B13" s="8" t="s">
        <v>2</v>
      </c>
      <c r="C13" s="9" t="s">
        <v>77</v>
      </c>
      <c r="D13" s="10">
        <f t="shared" ref="D13:E13" si="12">SUM(D12)</f>
        <v>635000</v>
      </c>
      <c r="E13" s="10">
        <f t="shared" si="12"/>
        <v>635000</v>
      </c>
      <c r="F13" s="10">
        <f t="shared" ref="F13:H13" si="13">SUM(F12)</f>
        <v>0</v>
      </c>
      <c r="G13" s="103">
        <f t="shared" si="0"/>
        <v>0</v>
      </c>
      <c r="H13" s="10">
        <f t="shared" si="13"/>
        <v>0</v>
      </c>
      <c r="I13" s="103">
        <f t="shared" si="1"/>
        <v>0</v>
      </c>
      <c r="J13" s="103" t="str">
        <f t="shared" si="2"/>
        <v>-</v>
      </c>
      <c r="K13" s="10">
        <v>0</v>
      </c>
      <c r="L13" s="10">
        <f>L12</f>
        <v>0</v>
      </c>
      <c r="M13" s="10">
        <f t="shared" ref="M13:N13" si="14">M12</f>
        <v>0</v>
      </c>
      <c r="N13" s="10">
        <f t="shared" si="14"/>
        <v>0</v>
      </c>
      <c r="O13" s="10"/>
    </row>
    <row r="14" spans="1:15" ht="12" customHeight="1">
      <c r="A14" s="5">
        <v>3111</v>
      </c>
      <c r="B14" s="5">
        <v>5023</v>
      </c>
      <c r="C14" s="6" t="s">
        <v>136</v>
      </c>
      <c r="D14" s="7">
        <v>0</v>
      </c>
      <c r="E14" s="7">
        <v>541</v>
      </c>
      <c r="F14" s="7">
        <v>541</v>
      </c>
      <c r="G14" s="102">
        <f t="shared" si="0"/>
        <v>1</v>
      </c>
      <c r="H14" s="7">
        <v>541</v>
      </c>
      <c r="I14" s="102">
        <f t="shared" si="1"/>
        <v>1</v>
      </c>
      <c r="J14" s="102">
        <f t="shared" si="2"/>
        <v>1</v>
      </c>
      <c r="K14" s="7">
        <f t="shared" si="3"/>
        <v>541</v>
      </c>
      <c r="L14" s="7">
        <v>0</v>
      </c>
      <c r="M14" s="7">
        <v>0</v>
      </c>
      <c r="N14" s="7">
        <v>0</v>
      </c>
      <c r="O14" s="7" t="s">
        <v>297</v>
      </c>
    </row>
    <row r="15" spans="1:15" ht="12" customHeight="1">
      <c r="A15" s="127">
        <v>3111</v>
      </c>
      <c r="B15" s="127" t="s">
        <v>91</v>
      </c>
      <c r="C15" s="114" t="s">
        <v>163</v>
      </c>
      <c r="D15" s="131">
        <v>0</v>
      </c>
      <c r="E15" s="131">
        <v>0</v>
      </c>
      <c r="F15" s="131">
        <v>55616</v>
      </c>
      <c r="G15" s="102" t="str">
        <f t="shared" si="0"/>
        <v>-</v>
      </c>
      <c r="H15" s="131">
        <v>55616</v>
      </c>
      <c r="I15" s="102" t="str">
        <f t="shared" si="1"/>
        <v>-</v>
      </c>
      <c r="J15" s="102">
        <f t="shared" si="2"/>
        <v>0.85563076923076919</v>
      </c>
      <c r="K15" s="131">
        <v>65000</v>
      </c>
      <c r="L15" s="131"/>
      <c r="M15" s="131"/>
      <c r="N15" s="131"/>
      <c r="O15" s="7"/>
    </row>
    <row r="16" spans="1:15" ht="12" customHeight="1">
      <c r="A16" s="5" t="s">
        <v>33</v>
      </c>
      <c r="B16" s="5" t="s">
        <v>65</v>
      </c>
      <c r="C16" s="6" t="s">
        <v>66</v>
      </c>
      <c r="D16" s="7">
        <v>0</v>
      </c>
      <c r="E16" s="7">
        <v>16699</v>
      </c>
      <c r="F16" s="7">
        <v>16625.22</v>
      </c>
      <c r="G16" s="102">
        <f t="shared" si="0"/>
        <v>0.99558177136355475</v>
      </c>
      <c r="H16" s="7">
        <v>16625.22</v>
      </c>
      <c r="I16" s="102">
        <f t="shared" si="1"/>
        <v>0.99558177136355475</v>
      </c>
      <c r="J16" s="102">
        <f t="shared" si="2"/>
        <v>0.99558177136355475</v>
      </c>
      <c r="K16" s="7">
        <f t="shared" si="3"/>
        <v>16699</v>
      </c>
      <c r="L16" s="7"/>
      <c r="M16" s="7"/>
      <c r="N16" s="7"/>
      <c r="O16" s="7"/>
    </row>
    <row r="17" spans="1:17" ht="12" customHeight="1">
      <c r="A17" s="5" t="s">
        <v>33</v>
      </c>
      <c r="B17" s="5" t="s">
        <v>72</v>
      </c>
      <c r="C17" s="6" t="s">
        <v>73</v>
      </c>
      <c r="D17" s="7">
        <v>0</v>
      </c>
      <c r="E17" s="7">
        <v>0</v>
      </c>
      <c r="F17" s="7">
        <v>0</v>
      </c>
      <c r="G17" s="102" t="str">
        <f t="shared" si="0"/>
        <v>-</v>
      </c>
      <c r="H17" s="7">
        <v>0</v>
      </c>
      <c r="I17" s="102" t="str">
        <f t="shared" si="1"/>
        <v>-</v>
      </c>
      <c r="J17" s="102" t="str">
        <f t="shared" si="2"/>
        <v>-</v>
      </c>
      <c r="K17" s="7">
        <f t="shared" si="3"/>
        <v>0</v>
      </c>
      <c r="L17" s="7"/>
      <c r="M17" s="7"/>
      <c r="N17" s="7"/>
      <c r="O17" s="7"/>
    </row>
    <row r="18" spans="1:17" ht="12" customHeight="1">
      <c r="A18" s="5" t="s">
        <v>33</v>
      </c>
      <c r="B18" s="5" t="s">
        <v>78</v>
      </c>
      <c r="C18" s="6" t="s">
        <v>79</v>
      </c>
      <c r="D18" s="7">
        <v>146000</v>
      </c>
      <c r="E18" s="7">
        <v>141000</v>
      </c>
      <c r="F18" s="7">
        <v>76601.259999999995</v>
      </c>
      <c r="G18" s="102">
        <f t="shared" si="0"/>
        <v>0.54327134751773043</v>
      </c>
      <c r="H18" s="7">
        <v>87701.26</v>
      </c>
      <c r="I18" s="102">
        <f t="shared" si="1"/>
        <v>0.62199475177304964</v>
      </c>
      <c r="J18" s="102">
        <f t="shared" si="2"/>
        <v>0.62199475177304964</v>
      </c>
      <c r="K18" s="7">
        <f t="shared" si="3"/>
        <v>141000</v>
      </c>
      <c r="L18" s="7"/>
      <c r="M18" s="7"/>
      <c r="N18" s="7"/>
      <c r="O18" s="7" t="s">
        <v>264</v>
      </c>
      <c r="Q18" s="49"/>
    </row>
    <row r="19" spans="1:17" ht="12" customHeight="1">
      <c r="A19" s="127" t="s">
        <v>33</v>
      </c>
      <c r="B19" s="5" t="s">
        <v>80</v>
      </c>
      <c r="C19" s="6" t="s">
        <v>81</v>
      </c>
      <c r="D19" s="7">
        <v>111000</v>
      </c>
      <c r="E19" s="7">
        <v>111000</v>
      </c>
      <c r="F19" s="7">
        <v>71836.23</v>
      </c>
      <c r="G19" s="102">
        <f t="shared" si="0"/>
        <v>0.64717324324324321</v>
      </c>
      <c r="H19" s="7">
        <v>82836.23</v>
      </c>
      <c r="I19" s="102">
        <f t="shared" si="1"/>
        <v>0.7462723423423423</v>
      </c>
      <c r="J19" s="102">
        <f t="shared" si="2"/>
        <v>0.7462723423423423</v>
      </c>
      <c r="K19" s="7">
        <f t="shared" si="3"/>
        <v>111000</v>
      </c>
      <c r="L19" s="7"/>
      <c r="M19" s="7"/>
      <c r="N19" s="7"/>
      <c r="O19" s="7" t="s">
        <v>264</v>
      </c>
    </row>
    <row r="20" spans="1:17" ht="12" customHeight="1">
      <c r="A20" s="127" t="s">
        <v>33</v>
      </c>
      <c r="B20" s="127" t="s">
        <v>63</v>
      </c>
      <c r="C20" s="114" t="s">
        <v>64</v>
      </c>
      <c r="D20" s="131">
        <v>0</v>
      </c>
      <c r="E20" s="131">
        <v>5000</v>
      </c>
      <c r="F20" s="131">
        <v>166963</v>
      </c>
      <c r="G20" s="102">
        <f t="shared" si="0"/>
        <v>33.392600000000002</v>
      </c>
      <c r="H20" s="131">
        <v>188192</v>
      </c>
      <c r="I20" s="102">
        <f t="shared" si="1"/>
        <v>37.638399999999997</v>
      </c>
      <c r="J20" s="102">
        <f t="shared" si="2"/>
        <v>0.99048421052631574</v>
      </c>
      <c r="K20" s="131">
        <v>190000</v>
      </c>
      <c r="L20" s="131"/>
      <c r="M20" s="131"/>
      <c r="N20" s="131"/>
      <c r="O20" s="7"/>
    </row>
    <row r="21" spans="1:17" ht="12" customHeight="1">
      <c r="A21" s="127" t="s">
        <v>33</v>
      </c>
      <c r="B21" s="127" t="s">
        <v>84</v>
      </c>
      <c r="C21" s="114" t="s">
        <v>85</v>
      </c>
      <c r="D21" s="131">
        <v>480000</v>
      </c>
      <c r="E21" s="131">
        <v>462760</v>
      </c>
      <c r="F21" s="131">
        <v>200000</v>
      </c>
      <c r="G21" s="102">
        <f t="shared" si="0"/>
        <v>0.43218947186446538</v>
      </c>
      <c r="H21" s="131">
        <v>200000</v>
      </c>
      <c r="I21" s="102">
        <f t="shared" si="1"/>
        <v>0.43218947186446538</v>
      </c>
      <c r="J21" s="102">
        <f t="shared" si="2"/>
        <v>0.43218947186446538</v>
      </c>
      <c r="K21" s="131">
        <f t="shared" si="3"/>
        <v>462760</v>
      </c>
      <c r="L21" s="131">
        <v>730000</v>
      </c>
      <c r="M21" s="131">
        <v>800000</v>
      </c>
      <c r="N21" s="131">
        <v>800000</v>
      </c>
      <c r="O21" s="100" t="s">
        <v>454</v>
      </c>
    </row>
    <row r="22" spans="1:17" ht="12" customHeight="1">
      <c r="A22" s="8" t="s">
        <v>33</v>
      </c>
      <c r="B22" s="8" t="s">
        <v>2</v>
      </c>
      <c r="C22" s="9" t="s">
        <v>32</v>
      </c>
      <c r="D22" s="10">
        <f>SUM(D14:D21)</f>
        <v>737000</v>
      </c>
      <c r="E22" s="10">
        <f>SUM(E14:E21)</f>
        <v>737000</v>
      </c>
      <c r="F22" s="10">
        <f>SUM(F14:F21)</f>
        <v>588182.71</v>
      </c>
      <c r="G22" s="103">
        <f t="shared" si="0"/>
        <v>0.79807694708276788</v>
      </c>
      <c r="H22" s="10">
        <f>SUM(H14:H21)</f>
        <v>631511.71</v>
      </c>
      <c r="I22" s="103">
        <f t="shared" si="1"/>
        <v>0.85686799185888729</v>
      </c>
      <c r="J22" s="103">
        <f t="shared" si="2"/>
        <v>0.639829493414387</v>
      </c>
      <c r="K22" s="10">
        <f>SUM(K14:K21)</f>
        <v>987000</v>
      </c>
      <c r="L22" s="10">
        <f>SUM(L14:L21)</f>
        <v>730000</v>
      </c>
      <c r="M22" s="10">
        <f t="shared" ref="M22:N22" si="15">SUM(M14:M21)</f>
        <v>800000</v>
      </c>
      <c r="N22" s="10">
        <f t="shared" si="15"/>
        <v>800000</v>
      </c>
      <c r="O22" s="10"/>
    </row>
    <row r="23" spans="1:17" ht="12" customHeight="1">
      <c r="A23" s="5" t="s">
        <v>86</v>
      </c>
      <c r="B23" s="5" t="s">
        <v>87</v>
      </c>
      <c r="C23" s="6" t="s">
        <v>88</v>
      </c>
      <c r="D23" s="7">
        <v>1720000</v>
      </c>
      <c r="E23" s="7">
        <v>1720000</v>
      </c>
      <c r="F23" s="7">
        <v>1725200</v>
      </c>
      <c r="G23" s="102">
        <f t="shared" si="0"/>
        <v>1.0030232558139536</v>
      </c>
      <c r="H23" s="7">
        <v>1725200</v>
      </c>
      <c r="I23" s="102">
        <f t="shared" si="1"/>
        <v>1.0030232558139536</v>
      </c>
      <c r="J23" s="102">
        <f t="shared" si="2"/>
        <v>1</v>
      </c>
      <c r="K23" s="7">
        <v>1725200</v>
      </c>
      <c r="L23" s="7">
        <v>1730000</v>
      </c>
      <c r="M23" s="7">
        <v>1770000</v>
      </c>
      <c r="N23" s="7">
        <v>1800000</v>
      </c>
      <c r="O23" s="7"/>
    </row>
    <row r="24" spans="1:17" ht="12" customHeight="1">
      <c r="A24" s="8" t="s">
        <v>86</v>
      </c>
      <c r="B24" s="8" t="s">
        <v>2</v>
      </c>
      <c r="C24" s="9" t="s">
        <v>89</v>
      </c>
      <c r="D24" s="10">
        <f t="shared" ref="D24:E24" si="16">SUM(D23)</f>
        <v>1720000</v>
      </c>
      <c r="E24" s="10">
        <f t="shared" si="16"/>
        <v>1720000</v>
      </c>
      <c r="F24" s="10">
        <f t="shared" ref="F24:H24" si="17">SUM(F23)</f>
        <v>1725200</v>
      </c>
      <c r="G24" s="103">
        <f t="shared" si="0"/>
        <v>1.0030232558139536</v>
      </c>
      <c r="H24" s="10">
        <f t="shared" si="17"/>
        <v>1725200</v>
      </c>
      <c r="I24" s="103">
        <f t="shared" si="1"/>
        <v>1.0030232558139536</v>
      </c>
      <c r="J24" s="103">
        <f t="shared" si="2"/>
        <v>1</v>
      </c>
      <c r="K24" s="10">
        <f>K23</f>
        <v>1725200</v>
      </c>
      <c r="L24" s="10">
        <f>L23</f>
        <v>1730000</v>
      </c>
      <c r="M24" s="10">
        <f t="shared" ref="M24:N24" si="18">M23</f>
        <v>1770000</v>
      </c>
      <c r="N24" s="10">
        <f t="shared" si="18"/>
        <v>1800000</v>
      </c>
      <c r="O24" s="10"/>
    </row>
    <row r="25" spans="1:17" ht="12" customHeight="1">
      <c r="A25" s="129">
        <v>3119</v>
      </c>
      <c r="B25" s="127">
        <v>5021</v>
      </c>
      <c r="C25" s="114" t="s">
        <v>95</v>
      </c>
      <c r="D25" s="131">
        <v>12000</v>
      </c>
      <c r="E25" s="131">
        <v>12000</v>
      </c>
      <c r="F25" s="131">
        <v>0</v>
      </c>
      <c r="G25" s="103"/>
      <c r="H25" s="131">
        <v>0</v>
      </c>
      <c r="I25" s="103">
        <f t="shared" si="1"/>
        <v>0</v>
      </c>
      <c r="J25" s="103" t="str">
        <f t="shared" si="2"/>
        <v>-</v>
      </c>
      <c r="K25" s="131">
        <v>0</v>
      </c>
      <c r="L25" s="131">
        <v>0</v>
      </c>
      <c r="M25" s="131">
        <v>0</v>
      </c>
      <c r="N25" s="131">
        <v>0</v>
      </c>
      <c r="O25" s="10"/>
    </row>
    <row r="26" spans="1:17" ht="12" customHeight="1">
      <c r="A26" s="8">
        <v>3119</v>
      </c>
      <c r="B26" s="8" t="s">
        <v>2</v>
      </c>
      <c r="C26" s="9" t="s">
        <v>296</v>
      </c>
      <c r="D26" s="10">
        <f>D25</f>
        <v>12000</v>
      </c>
      <c r="E26" s="10">
        <f>E25</f>
        <v>12000</v>
      </c>
      <c r="F26" s="10">
        <f>F25</f>
        <v>0</v>
      </c>
      <c r="G26" s="103"/>
      <c r="H26" s="10">
        <f>H25</f>
        <v>0</v>
      </c>
      <c r="I26" s="103">
        <f t="shared" si="1"/>
        <v>0</v>
      </c>
      <c r="J26" s="103" t="str">
        <f t="shared" si="2"/>
        <v>-</v>
      </c>
      <c r="K26" s="10">
        <f>K25</f>
        <v>0</v>
      </c>
      <c r="L26" s="10">
        <f>L25</f>
        <v>0</v>
      </c>
      <c r="M26" s="10">
        <f t="shared" ref="M26:N26" si="19">M25</f>
        <v>0</v>
      </c>
      <c r="N26" s="10">
        <f t="shared" si="19"/>
        <v>0</v>
      </c>
      <c r="O26" s="10"/>
    </row>
    <row r="27" spans="1:17" ht="12" customHeight="1">
      <c r="A27" s="127">
        <v>3119</v>
      </c>
      <c r="B27" s="127">
        <v>5021</v>
      </c>
      <c r="C27" s="114" t="s">
        <v>95</v>
      </c>
      <c r="D27" s="131">
        <v>0</v>
      </c>
      <c r="E27" s="131">
        <v>15000</v>
      </c>
      <c r="F27" s="131">
        <v>14116</v>
      </c>
      <c r="G27" s="102">
        <f t="shared" si="0"/>
        <v>0.94106666666666672</v>
      </c>
      <c r="H27" s="131">
        <v>14116</v>
      </c>
      <c r="I27" s="102">
        <f t="shared" si="1"/>
        <v>0.94106666666666672</v>
      </c>
      <c r="J27" s="102">
        <f t="shared" si="2"/>
        <v>0.64163636363636367</v>
      </c>
      <c r="K27" s="131">
        <v>22000</v>
      </c>
      <c r="L27" s="131">
        <v>15000</v>
      </c>
      <c r="M27" s="131">
        <v>15000</v>
      </c>
      <c r="N27" s="131">
        <v>15000</v>
      </c>
      <c r="O27" s="7" t="s">
        <v>263</v>
      </c>
    </row>
    <row r="28" spans="1:17" ht="12" customHeight="1">
      <c r="A28" s="8">
        <v>3119</v>
      </c>
      <c r="B28" s="8" t="s">
        <v>2</v>
      </c>
      <c r="C28" s="9" t="s">
        <v>243</v>
      </c>
      <c r="D28" s="10">
        <f>D27</f>
        <v>0</v>
      </c>
      <c r="E28" s="10">
        <f>E27</f>
        <v>15000</v>
      </c>
      <c r="F28" s="10">
        <f>F27</f>
        <v>14116</v>
      </c>
      <c r="G28" s="103">
        <f t="shared" si="0"/>
        <v>0.94106666666666672</v>
      </c>
      <c r="H28" s="10">
        <f>H27</f>
        <v>14116</v>
      </c>
      <c r="I28" s="103">
        <f t="shared" si="1"/>
        <v>0.94106666666666672</v>
      </c>
      <c r="J28" s="103">
        <f t="shared" si="2"/>
        <v>0.64163636363636367</v>
      </c>
      <c r="K28" s="10">
        <f>K27</f>
        <v>22000</v>
      </c>
      <c r="L28" s="10">
        <f>L27</f>
        <v>15000</v>
      </c>
      <c r="M28" s="10">
        <f t="shared" ref="M28:N28" si="20">M27</f>
        <v>15000</v>
      </c>
      <c r="N28" s="10">
        <f t="shared" si="20"/>
        <v>15000</v>
      </c>
      <c r="O28" s="10"/>
    </row>
    <row r="29" spans="1:17" ht="12" customHeight="1">
      <c r="A29" s="5" t="s">
        <v>90</v>
      </c>
      <c r="B29" s="5" t="s">
        <v>63</v>
      </c>
      <c r="C29" s="6" t="s">
        <v>64</v>
      </c>
      <c r="D29" s="7">
        <v>20000</v>
      </c>
      <c r="E29" s="7">
        <v>20000</v>
      </c>
      <c r="F29" s="7">
        <v>19481.71</v>
      </c>
      <c r="G29" s="102">
        <f t="shared" si="0"/>
        <v>0.97408549999999994</v>
      </c>
      <c r="H29" s="7">
        <v>19481.71</v>
      </c>
      <c r="I29" s="102">
        <f t="shared" si="1"/>
        <v>0.97408549999999994</v>
      </c>
      <c r="J29" s="102">
        <f t="shared" si="2"/>
        <v>0.97408549999999994</v>
      </c>
      <c r="K29" s="7">
        <f t="shared" si="3"/>
        <v>20000</v>
      </c>
      <c r="L29" s="7">
        <v>22000</v>
      </c>
      <c r="M29" s="7">
        <v>22500</v>
      </c>
      <c r="N29" s="7">
        <v>23000</v>
      </c>
      <c r="O29" s="7"/>
    </row>
    <row r="30" spans="1:17" ht="12" customHeight="1">
      <c r="A30" s="8" t="s">
        <v>90</v>
      </c>
      <c r="B30" s="8" t="s">
        <v>2</v>
      </c>
      <c r="C30" s="9" t="s">
        <v>93</v>
      </c>
      <c r="D30" s="10">
        <f>SUM(D29:D29)</f>
        <v>20000</v>
      </c>
      <c r="E30" s="10">
        <f>SUM(E29:E29)</f>
        <v>20000</v>
      </c>
      <c r="F30" s="10">
        <f>SUM(F29:F29)</f>
        <v>19481.71</v>
      </c>
      <c r="G30" s="103">
        <f t="shared" si="0"/>
        <v>0.97408549999999994</v>
      </c>
      <c r="H30" s="10">
        <f>SUM(H29:H29)</f>
        <v>19481.71</v>
      </c>
      <c r="I30" s="103">
        <f t="shared" si="1"/>
        <v>0.97408549999999994</v>
      </c>
      <c r="J30" s="103">
        <f t="shared" si="2"/>
        <v>0.97408549999999994</v>
      </c>
      <c r="K30" s="10">
        <f>K29</f>
        <v>20000</v>
      </c>
      <c r="L30" s="10">
        <f>L29</f>
        <v>22000</v>
      </c>
      <c r="M30" s="10">
        <f t="shared" ref="M30:N30" si="21">M29</f>
        <v>22500</v>
      </c>
      <c r="N30" s="10">
        <f t="shared" si="21"/>
        <v>23000</v>
      </c>
      <c r="O30" s="10"/>
    </row>
    <row r="31" spans="1:17" ht="12" customHeight="1">
      <c r="A31" s="5" t="s">
        <v>30</v>
      </c>
      <c r="B31" s="5" t="s">
        <v>94</v>
      </c>
      <c r="C31" s="6" t="s">
        <v>95</v>
      </c>
      <c r="D31" s="7">
        <v>30000</v>
      </c>
      <c r="E31" s="7">
        <v>30000</v>
      </c>
      <c r="F31" s="7">
        <v>22938</v>
      </c>
      <c r="G31" s="102">
        <f t="shared" si="0"/>
        <v>0.76459999999999995</v>
      </c>
      <c r="H31" s="7">
        <v>22938</v>
      </c>
      <c r="I31" s="102">
        <f t="shared" si="1"/>
        <v>0.76459999999999995</v>
      </c>
      <c r="J31" s="102">
        <f t="shared" si="2"/>
        <v>0.76459999999999995</v>
      </c>
      <c r="K31" s="7">
        <f t="shared" si="3"/>
        <v>30000</v>
      </c>
      <c r="L31" s="7">
        <v>30000</v>
      </c>
      <c r="M31" s="7">
        <v>30000</v>
      </c>
      <c r="N31" s="7">
        <v>30000</v>
      </c>
      <c r="O31" s="7" t="s">
        <v>265</v>
      </c>
    </row>
    <row r="32" spans="1:17" ht="12" customHeight="1">
      <c r="A32" s="5" t="s">
        <v>30</v>
      </c>
      <c r="B32" s="5" t="s">
        <v>91</v>
      </c>
      <c r="C32" s="6" t="s">
        <v>92</v>
      </c>
      <c r="D32" s="7">
        <v>50000</v>
      </c>
      <c r="E32" s="7">
        <v>50000</v>
      </c>
      <c r="F32" s="7">
        <v>26967</v>
      </c>
      <c r="G32" s="102">
        <f t="shared" si="0"/>
        <v>0.53934000000000004</v>
      </c>
      <c r="H32" s="7">
        <v>26967</v>
      </c>
      <c r="I32" s="102">
        <f t="shared" si="1"/>
        <v>0.53934000000000004</v>
      </c>
      <c r="J32" s="102">
        <f t="shared" si="2"/>
        <v>0.53934000000000004</v>
      </c>
      <c r="K32" s="7">
        <f t="shared" si="3"/>
        <v>50000</v>
      </c>
      <c r="L32" s="7">
        <v>40000</v>
      </c>
      <c r="M32" s="7">
        <v>45000</v>
      </c>
      <c r="N32" s="7">
        <v>45000</v>
      </c>
      <c r="O32" s="7" t="s">
        <v>455</v>
      </c>
    </row>
    <row r="33" spans="1:15" ht="12" customHeight="1">
      <c r="A33" s="127" t="s">
        <v>30</v>
      </c>
      <c r="B33" s="127" t="s">
        <v>65</v>
      </c>
      <c r="C33" s="114" t="s">
        <v>66</v>
      </c>
      <c r="D33" s="131">
        <v>150000</v>
      </c>
      <c r="E33" s="131">
        <v>41000</v>
      </c>
      <c r="F33" s="131">
        <v>41181</v>
      </c>
      <c r="G33" s="104">
        <f t="shared" si="0"/>
        <v>1.0044146341463414</v>
      </c>
      <c r="H33" s="131">
        <v>47875</v>
      </c>
      <c r="I33" s="104">
        <f t="shared" si="1"/>
        <v>1.1676829268292683</v>
      </c>
      <c r="J33" s="104">
        <f t="shared" si="2"/>
        <v>0.8549107142857143</v>
      </c>
      <c r="K33" s="131">
        <f>E33+15000</f>
        <v>56000</v>
      </c>
      <c r="L33" s="131">
        <v>100000</v>
      </c>
      <c r="M33" s="131">
        <v>100000</v>
      </c>
      <c r="N33" s="131">
        <v>100000</v>
      </c>
      <c r="O33" s="15"/>
    </row>
    <row r="34" spans="1:15" ht="12" customHeight="1">
      <c r="A34" s="5" t="s">
        <v>30</v>
      </c>
      <c r="B34" s="5" t="s">
        <v>72</v>
      </c>
      <c r="C34" s="6" t="s">
        <v>73</v>
      </c>
      <c r="D34" s="7">
        <v>56000</v>
      </c>
      <c r="E34" s="7">
        <v>56000</v>
      </c>
      <c r="F34" s="7">
        <v>0</v>
      </c>
      <c r="G34" s="102">
        <f t="shared" si="0"/>
        <v>0</v>
      </c>
      <c r="H34" s="7">
        <v>0</v>
      </c>
      <c r="I34" s="102">
        <f t="shared" si="1"/>
        <v>0</v>
      </c>
      <c r="J34" s="102">
        <f t="shared" si="2"/>
        <v>0</v>
      </c>
      <c r="K34" s="7">
        <f t="shared" si="3"/>
        <v>56000</v>
      </c>
      <c r="L34" s="7">
        <v>100000</v>
      </c>
      <c r="M34" s="7">
        <v>100000</v>
      </c>
      <c r="N34" s="7">
        <v>100000</v>
      </c>
      <c r="O34" s="7"/>
    </row>
    <row r="35" spans="1:15" ht="12" customHeight="1">
      <c r="A35" s="5" t="s">
        <v>30</v>
      </c>
      <c r="B35" s="5" t="s">
        <v>78</v>
      </c>
      <c r="C35" s="6" t="s">
        <v>79</v>
      </c>
      <c r="D35" s="7">
        <v>270000</v>
      </c>
      <c r="E35" s="7">
        <v>270000</v>
      </c>
      <c r="F35" s="7">
        <v>157880.1</v>
      </c>
      <c r="G35" s="102">
        <f t="shared" si="0"/>
        <v>0.58474111111111116</v>
      </c>
      <c r="H35" s="7">
        <v>180960.1</v>
      </c>
      <c r="I35" s="102">
        <f t="shared" si="1"/>
        <v>0.67022259259259265</v>
      </c>
      <c r="J35" s="102">
        <f t="shared" si="2"/>
        <v>0.67022259259259265</v>
      </c>
      <c r="K35" s="7">
        <f t="shared" si="3"/>
        <v>270000</v>
      </c>
      <c r="L35" s="7">
        <v>270000</v>
      </c>
      <c r="M35" s="7">
        <v>270000</v>
      </c>
      <c r="N35" s="7">
        <v>270000</v>
      </c>
      <c r="O35" s="7"/>
    </row>
    <row r="36" spans="1:15" ht="12" customHeight="1">
      <c r="A36" s="127" t="s">
        <v>30</v>
      </c>
      <c r="B36" s="5" t="s">
        <v>80</v>
      </c>
      <c r="C36" s="6" t="s">
        <v>81</v>
      </c>
      <c r="D36" s="7">
        <v>100000</v>
      </c>
      <c r="E36" s="7">
        <v>100000</v>
      </c>
      <c r="F36" s="7">
        <v>79561.240000000005</v>
      </c>
      <c r="G36" s="102">
        <f t="shared" si="0"/>
        <v>0.7956124</v>
      </c>
      <c r="H36" s="7">
        <v>85631.24</v>
      </c>
      <c r="I36" s="102">
        <f t="shared" si="1"/>
        <v>0.85631240000000008</v>
      </c>
      <c r="J36" s="102">
        <f t="shared" si="2"/>
        <v>0.85631240000000008</v>
      </c>
      <c r="K36" s="7">
        <f t="shared" si="3"/>
        <v>100000</v>
      </c>
      <c r="L36" s="7">
        <v>100000</v>
      </c>
      <c r="M36" s="7">
        <v>100000</v>
      </c>
      <c r="N36" s="7">
        <v>100000</v>
      </c>
      <c r="O36" s="7"/>
    </row>
    <row r="37" spans="1:15" ht="12" customHeight="1">
      <c r="A37" s="127" t="s">
        <v>30</v>
      </c>
      <c r="B37" s="127" t="s">
        <v>63</v>
      </c>
      <c r="C37" s="114" t="s">
        <v>64</v>
      </c>
      <c r="D37" s="131">
        <v>350000</v>
      </c>
      <c r="E37" s="131">
        <v>150000</v>
      </c>
      <c r="F37" s="131">
        <v>139404.48000000001</v>
      </c>
      <c r="G37" s="104">
        <f t="shared" si="0"/>
        <v>0.92936320000000006</v>
      </c>
      <c r="H37" s="131">
        <v>164610.76999999999</v>
      </c>
      <c r="I37" s="104">
        <f t="shared" si="1"/>
        <v>1.0974051333333332</v>
      </c>
      <c r="J37" s="104">
        <f t="shared" si="2"/>
        <v>0.91450427777777776</v>
      </c>
      <c r="K37" s="131">
        <v>180000</v>
      </c>
      <c r="L37" s="131">
        <f>200000+30000</f>
        <v>230000</v>
      </c>
      <c r="M37" s="131">
        <v>240000</v>
      </c>
      <c r="N37" s="131">
        <v>240000</v>
      </c>
      <c r="O37" s="15" t="s">
        <v>465</v>
      </c>
    </row>
    <row r="38" spans="1:15" ht="12" customHeight="1">
      <c r="A38" s="5" t="s">
        <v>30</v>
      </c>
      <c r="B38" s="5" t="s">
        <v>67</v>
      </c>
      <c r="C38" s="6" t="s">
        <v>68</v>
      </c>
      <c r="D38" s="7">
        <v>350000</v>
      </c>
      <c r="E38" s="7">
        <v>50000</v>
      </c>
      <c r="F38" s="7">
        <v>42625</v>
      </c>
      <c r="G38" s="102">
        <f t="shared" si="0"/>
        <v>0.85250000000000004</v>
      </c>
      <c r="H38" s="7">
        <v>42625</v>
      </c>
      <c r="I38" s="102">
        <f t="shared" si="1"/>
        <v>0.85250000000000004</v>
      </c>
      <c r="J38" s="102">
        <f t="shared" si="2"/>
        <v>0.96436651583710409</v>
      </c>
      <c r="K38" s="7">
        <v>44200</v>
      </c>
      <c r="L38" s="99">
        <f>600000+150000+500000+50000-150000-73000+95000</f>
        <v>1172000</v>
      </c>
      <c r="M38" s="99">
        <f>1300000+90500+1000000</f>
        <v>2390500</v>
      </c>
      <c r="N38" s="99">
        <f>1300000+125000</f>
        <v>1425000</v>
      </c>
      <c r="O38" s="7" t="s">
        <v>472</v>
      </c>
    </row>
    <row r="39" spans="1:15" ht="12" customHeight="1">
      <c r="A39" s="5" t="s">
        <v>30</v>
      </c>
      <c r="B39" s="5" t="s">
        <v>96</v>
      </c>
      <c r="C39" s="6" t="s">
        <v>97</v>
      </c>
      <c r="D39" s="7">
        <v>10000</v>
      </c>
      <c r="E39" s="7">
        <v>10000</v>
      </c>
      <c r="F39" s="7">
        <v>8266</v>
      </c>
      <c r="G39" s="102">
        <f t="shared" si="0"/>
        <v>0.8266</v>
      </c>
      <c r="H39" s="7">
        <v>8266</v>
      </c>
      <c r="I39" s="102">
        <f t="shared" si="1"/>
        <v>0.8266</v>
      </c>
      <c r="J39" s="102">
        <f t="shared" si="2"/>
        <v>0.52316455696202535</v>
      </c>
      <c r="K39" s="7">
        <v>15800</v>
      </c>
      <c r="L39" s="7">
        <v>15000</v>
      </c>
      <c r="M39" s="7">
        <v>15000</v>
      </c>
      <c r="N39" s="7">
        <v>15000</v>
      </c>
      <c r="O39" s="7"/>
    </row>
    <row r="40" spans="1:15" ht="12" customHeight="1">
      <c r="A40" s="127" t="s">
        <v>30</v>
      </c>
      <c r="B40" s="127" t="s">
        <v>69</v>
      </c>
      <c r="C40" s="114" t="s">
        <v>70</v>
      </c>
      <c r="D40" s="131">
        <v>1300000</v>
      </c>
      <c r="E40" s="131">
        <v>1800000</v>
      </c>
      <c r="F40" s="131">
        <v>2067839.08</v>
      </c>
      <c r="G40" s="104">
        <f t="shared" si="0"/>
        <v>1.1487994888888888</v>
      </c>
      <c r="H40" s="131">
        <v>2067839.08</v>
      </c>
      <c r="I40" s="104">
        <f t="shared" si="1"/>
        <v>1.1487994888888888</v>
      </c>
      <c r="J40" s="104">
        <f t="shared" si="2"/>
        <v>0.82713563200000007</v>
      </c>
      <c r="K40" s="131">
        <f>E40+700000</f>
        <v>2500000</v>
      </c>
      <c r="L40" s="131">
        <v>2500000</v>
      </c>
      <c r="M40" s="131">
        <f>2000000+3000000</f>
        <v>5000000</v>
      </c>
      <c r="N40" s="131">
        <v>2000000</v>
      </c>
      <c r="O40" s="110" t="s">
        <v>461</v>
      </c>
    </row>
    <row r="41" spans="1:15" ht="12" customHeight="1">
      <c r="A41" s="127" t="s">
        <v>30</v>
      </c>
      <c r="B41" s="127" t="s">
        <v>120</v>
      </c>
      <c r="C41" s="114" t="s">
        <v>121</v>
      </c>
      <c r="D41" s="131">
        <v>50000</v>
      </c>
      <c r="E41" s="131">
        <v>50000</v>
      </c>
      <c r="F41" s="131">
        <v>0</v>
      </c>
      <c r="G41" s="102">
        <f t="shared" si="0"/>
        <v>0</v>
      </c>
      <c r="H41" s="131">
        <v>0</v>
      </c>
      <c r="I41" s="102">
        <f t="shared" si="1"/>
        <v>0</v>
      </c>
      <c r="J41" s="102" t="str">
        <f t="shared" si="2"/>
        <v>-</v>
      </c>
      <c r="K41" s="131">
        <v>0</v>
      </c>
      <c r="L41" s="131">
        <v>50000</v>
      </c>
      <c r="M41" s="131">
        <v>50000</v>
      </c>
      <c r="N41" s="131">
        <v>50000</v>
      </c>
      <c r="O41" s="7"/>
    </row>
    <row r="42" spans="1:15" ht="12" customHeight="1">
      <c r="A42" s="8" t="s">
        <v>30</v>
      </c>
      <c r="B42" s="8" t="s">
        <v>2</v>
      </c>
      <c r="C42" s="9" t="s">
        <v>29</v>
      </c>
      <c r="D42" s="10">
        <f>SUM(D31:D41)</f>
        <v>2716000</v>
      </c>
      <c r="E42" s="10">
        <f>SUM(E31:E41)</f>
        <v>2607000</v>
      </c>
      <c r="F42" s="10">
        <f>SUM(F31:F41)</f>
        <v>2586661.9000000004</v>
      </c>
      <c r="G42" s="103">
        <f t="shared" si="0"/>
        <v>0.99219865746068292</v>
      </c>
      <c r="H42" s="10">
        <f>SUM(H31:H41)</f>
        <v>2647712.19</v>
      </c>
      <c r="I42" s="103">
        <f t="shared" si="1"/>
        <v>1.0156164902186422</v>
      </c>
      <c r="J42" s="103">
        <f t="shared" si="2"/>
        <v>0.80185105693519076</v>
      </c>
      <c r="K42" s="10">
        <f>SUM(K31:K41)</f>
        <v>3302000</v>
      </c>
      <c r="L42" s="10">
        <f>SUM(L31:L41)</f>
        <v>4607000</v>
      </c>
      <c r="M42" s="10">
        <f>SUM(M31:M41)</f>
        <v>8340500</v>
      </c>
      <c r="N42" s="10">
        <f t="shared" ref="N42" si="22">SUM(N31:N41)</f>
        <v>4375000</v>
      </c>
      <c r="O42" s="10"/>
    </row>
    <row r="43" spans="1:15" ht="12" customHeight="1">
      <c r="A43" s="5" t="s">
        <v>98</v>
      </c>
      <c r="B43" s="5" t="s">
        <v>99</v>
      </c>
      <c r="C43" s="6" t="s">
        <v>100</v>
      </c>
      <c r="D43" s="7">
        <v>40000</v>
      </c>
      <c r="E43" s="7">
        <v>40000</v>
      </c>
      <c r="F43" s="7">
        <v>27845</v>
      </c>
      <c r="G43" s="102">
        <f t="shared" si="0"/>
        <v>0.69612499999999999</v>
      </c>
      <c r="H43" s="7">
        <v>27845</v>
      </c>
      <c r="I43" s="102">
        <f t="shared" si="1"/>
        <v>0.69612499999999999</v>
      </c>
      <c r="J43" s="102">
        <f t="shared" si="2"/>
        <v>0.69612499999999999</v>
      </c>
      <c r="K43" s="7">
        <f t="shared" si="3"/>
        <v>40000</v>
      </c>
      <c r="L43" s="7">
        <v>40000</v>
      </c>
      <c r="M43" s="7">
        <v>40000</v>
      </c>
      <c r="N43" s="7">
        <v>40000</v>
      </c>
      <c r="O43" s="7" t="s">
        <v>266</v>
      </c>
    </row>
    <row r="44" spans="1:15" ht="12" customHeight="1">
      <c r="A44" s="8" t="s">
        <v>98</v>
      </c>
      <c r="B44" s="8" t="s">
        <v>2</v>
      </c>
      <c r="C44" s="9" t="s">
        <v>101</v>
      </c>
      <c r="D44" s="10">
        <f>SUM(D43:D43)</f>
        <v>40000</v>
      </c>
      <c r="E44" s="10">
        <f>SUM(E43:E43)</f>
        <v>40000</v>
      </c>
      <c r="F44" s="10">
        <f>SUM(F43:F43)</f>
        <v>27845</v>
      </c>
      <c r="G44" s="103">
        <f t="shared" si="0"/>
        <v>0.69612499999999999</v>
      </c>
      <c r="H44" s="10">
        <f>SUM(H43:H43)</f>
        <v>27845</v>
      </c>
      <c r="I44" s="103">
        <f t="shared" si="1"/>
        <v>0.69612499999999999</v>
      </c>
      <c r="J44" s="103">
        <f t="shared" si="2"/>
        <v>0.69612499999999999</v>
      </c>
      <c r="K44" s="10">
        <f t="shared" si="3"/>
        <v>40000</v>
      </c>
      <c r="L44" s="10">
        <f>L43</f>
        <v>40000</v>
      </c>
      <c r="M44" s="10">
        <f t="shared" ref="M44:N44" si="23">M43</f>
        <v>40000</v>
      </c>
      <c r="N44" s="10">
        <f t="shared" si="23"/>
        <v>40000</v>
      </c>
      <c r="O44" s="10"/>
    </row>
    <row r="45" spans="1:15" ht="12" customHeight="1">
      <c r="A45" s="5">
        <v>3419</v>
      </c>
      <c r="B45" s="5">
        <v>5222</v>
      </c>
      <c r="C45" s="6" t="s">
        <v>242</v>
      </c>
      <c r="D45" s="7">
        <v>142000</v>
      </c>
      <c r="E45" s="7">
        <v>142000</v>
      </c>
      <c r="F45" s="7">
        <v>63000</v>
      </c>
      <c r="G45" s="102">
        <f t="shared" si="0"/>
        <v>0.44366197183098594</v>
      </c>
      <c r="H45" s="7">
        <v>63000</v>
      </c>
      <c r="I45" s="102">
        <f t="shared" si="1"/>
        <v>0.44366197183098594</v>
      </c>
      <c r="J45" s="102">
        <f t="shared" si="2"/>
        <v>0.44366197183098594</v>
      </c>
      <c r="K45" s="7">
        <f t="shared" si="3"/>
        <v>142000</v>
      </c>
      <c r="L45" s="7">
        <f>176000+20000</f>
        <v>196000</v>
      </c>
      <c r="M45" s="7">
        <v>170000</v>
      </c>
      <c r="N45" s="7">
        <v>170000</v>
      </c>
      <c r="O45" s="7"/>
    </row>
    <row r="46" spans="1:15" ht="12" customHeight="1">
      <c r="A46" s="8" t="s">
        <v>102</v>
      </c>
      <c r="B46" s="8" t="s">
        <v>2</v>
      </c>
      <c r="C46" s="9" t="s">
        <v>105</v>
      </c>
      <c r="D46" s="10">
        <f>SUM(D45:D45)</f>
        <v>142000</v>
      </c>
      <c r="E46" s="10">
        <f>SUM(E45:E45)</f>
        <v>142000</v>
      </c>
      <c r="F46" s="10">
        <f>SUM(F45:F45)</f>
        <v>63000</v>
      </c>
      <c r="G46" s="103">
        <f t="shared" si="0"/>
        <v>0.44366197183098594</v>
      </c>
      <c r="H46" s="10">
        <f>SUM(H45:H45)</f>
        <v>63000</v>
      </c>
      <c r="I46" s="103">
        <f t="shared" si="1"/>
        <v>0.44366197183098594</v>
      </c>
      <c r="J46" s="103">
        <f t="shared" si="2"/>
        <v>0.44366197183098594</v>
      </c>
      <c r="K46" s="10">
        <f t="shared" si="3"/>
        <v>142000</v>
      </c>
      <c r="L46" s="10">
        <f>L45</f>
        <v>196000</v>
      </c>
      <c r="M46" s="10">
        <f t="shared" ref="M46:N46" si="24">M45</f>
        <v>170000</v>
      </c>
      <c r="N46" s="10">
        <f t="shared" si="24"/>
        <v>170000</v>
      </c>
      <c r="O46" s="10"/>
    </row>
    <row r="47" spans="1:15" ht="12" customHeight="1">
      <c r="A47" s="5" t="s">
        <v>106</v>
      </c>
      <c r="B47" s="5" t="s">
        <v>107</v>
      </c>
      <c r="C47" s="6" t="s">
        <v>108</v>
      </c>
      <c r="D47" s="7">
        <v>2000</v>
      </c>
      <c r="E47" s="7">
        <v>2000</v>
      </c>
      <c r="F47" s="7">
        <v>0</v>
      </c>
      <c r="G47" s="102">
        <f t="shared" si="0"/>
        <v>0</v>
      </c>
      <c r="H47" s="7">
        <v>0</v>
      </c>
      <c r="I47" s="102">
        <f t="shared" si="1"/>
        <v>0</v>
      </c>
      <c r="J47" s="102">
        <f t="shared" si="2"/>
        <v>0</v>
      </c>
      <c r="K47" s="7">
        <f t="shared" si="3"/>
        <v>2000</v>
      </c>
      <c r="L47" s="7">
        <v>2000</v>
      </c>
      <c r="M47" s="7">
        <v>2000</v>
      </c>
      <c r="N47" s="7">
        <v>2000</v>
      </c>
      <c r="O47" s="7"/>
    </row>
    <row r="48" spans="1:15" ht="12" customHeight="1">
      <c r="A48" s="8" t="s">
        <v>106</v>
      </c>
      <c r="B48" s="8" t="s">
        <v>2</v>
      </c>
      <c r="C48" s="9" t="s">
        <v>109</v>
      </c>
      <c r="D48" s="10">
        <f t="shared" ref="D48" si="25">SUM(D47)</f>
        <v>2000</v>
      </c>
      <c r="E48" s="10">
        <f t="shared" ref="E48" si="26">SUM(E47)</f>
        <v>2000</v>
      </c>
      <c r="F48" s="10">
        <f t="shared" ref="F48:H48" si="27">SUM(F47)</f>
        <v>0</v>
      </c>
      <c r="G48" s="103">
        <f t="shared" si="0"/>
        <v>0</v>
      </c>
      <c r="H48" s="10">
        <f t="shared" si="27"/>
        <v>0</v>
      </c>
      <c r="I48" s="103">
        <f t="shared" si="1"/>
        <v>0</v>
      </c>
      <c r="J48" s="103">
        <f t="shared" si="2"/>
        <v>0</v>
      </c>
      <c r="K48" s="10">
        <f t="shared" si="3"/>
        <v>2000</v>
      </c>
      <c r="L48" s="10">
        <f>L47</f>
        <v>2000</v>
      </c>
      <c r="M48" s="10">
        <f t="shared" ref="M48:N48" si="28">M47</f>
        <v>2000</v>
      </c>
      <c r="N48" s="10">
        <f t="shared" si="28"/>
        <v>2000</v>
      </c>
      <c r="O48" s="10"/>
    </row>
    <row r="49" spans="1:16" ht="12" customHeight="1">
      <c r="A49" s="127">
        <v>3612</v>
      </c>
      <c r="B49" s="127">
        <v>5139</v>
      </c>
      <c r="C49" s="114" t="s">
        <v>66</v>
      </c>
      <c r="D49" s="131">
        <v>0</v>
      </c>
      <c r="E49" s="131">
        <v>0</v>
      </c>
      <c r="F49" s="131">
        <v>0</v>
      </c>
      <c r="G49" s="104" t="str">
        <f t="shared" si="0"/>
        <v>-</v>
      </c>
      <c r="H49" s="131">
        <v>4043</v>
      </c>
      <c r="I49" s="104" t="str">
        <f t="shared" si="1"/>
        <v>-</v>
      </c>
      <c r="J49" s="104" t="str">
        <f t="shared" si="2"/>
        <v>-</v>
      </c>
      <c r="K49" s="131">
        <v>0</v>
      </c>
      <c r="L49" s="131">
        <v>10000</v>
      </c>
      <c r="M49" s="131">
        <v>10000</v>
      </c>
      <c r="N49" s="131">
        <v>10000</v>
      </c>
      <c r="O49" s="15" t="s">
        <v>456</v>
      </c>
    </row>
    <row r="50" spans="1:16" ht="12" customHeight="1">
      <c r="A50" s="127">
        <v>3612</v>
      </c>
      <c r="B50" s="127">
        <v>5151</v>
      </c>
      <c r="C50" s="114" t="s">
        <v>73</v>
      </c>
      <c r="D50" s="131">
        <v>6000</v>
      </c>
      <c r="E50" s="131">
        <v>6000</v>
      </c>
      <c r="F50" s="131">
        <v>0</v>
      </c>
      <c r="G50" s="104">
        <f t="shared" si="0"/>
        <v>0</v>
      </c>
      <c r="H50" s="131">
        <v>0</v>
      </c>
      <c r="I50" s="104">
        <f t="shared" si="1"/>
        <v>0</v>
      </c>
      <c r="J50" s="104">
        <f t="shared" si="2"/>
        <v>0</v>
      </c>
      <c r="K50" s="131">
        <f t="shared" si="3"/>
        <v>6000</v>
      </c>
      <c r="L50" s="131">
        <v>10000</v>
      </c>
      <c r="M50" s="131">
        <v>10000</v>
      </c>
      <c r="N50" s="131">
        <v>10000</v>
      </c>
      <c r="O50" s="15"/>
    </row>
    <row r="51" spans="1:16" ht="12" customHeight="1">
      <c r="A51" s="127" t="s">
        <v>27</v>
      </c>
      <c r="B51" s="5" t="s">
        <v>80</v>
      </c>
      <c r="C51" s="6" t="s">
        <v>81</v>
      </c>
      <c r="D51" s="15">
        <v>24000</v>
      </c>
      <c r="E51" s="15">
        <v>24000</v>
      </c>
      <c r="F51" s="15">
        <v>17289.509999999998</v>
      </c>
      <c r="G51" s="104">
        <f t="shared" si="0"/>
        <v>0.72039624999999996</v>
      </c>
      <c r="H51" s="15">
        <v>25359.51</v>
      </c>
      <c r="I51" s="104">
        <f t="shared" si="1"/>
        <v>1.05664625</v>
      </c>
      <c r="J51" s="104">
        <f t="shared" si="2"/>
        <v>1.05664625</v>
      </c>
      <c r="K51" s="15">
        <f t="shared" si="3"/>
        <v>24000</v>
      </c>
      <c r="L51" s="15">
        <v>30000</v>
      </c>
      <c r="M51" s="15">
        <v>30000</v>
      </c>
      <c r="N51" s="15">
        <v>30000</v>
      </c>
      <c r="O51" s="15"/>
    </row>
    <row r="52" spans="1:16" ht="12" customHeight="1">
      <c r="A52" s="5" t="s">
        <v>27</v>
      </c>
      <c r="B52" s="5">
        <v>5153</v>
      </c>
      <c r="C52" s="6" t="s">
        <v>79</v>
      </c>
      <c r="D52" s="15">
        <v>24000</v>
      </c>
      <c r="E52" s="15">
        <v>24000</v>
      </c>
      <c r="F52" s="15">
        <v>0</v>
      </c>
      <c r="G52" s="104">
        <f t="shared" si="0"/>
        <v>0</v>
      </c>
      <c r="H52" s="15">
        <v>0</v>
      </c>
      <c r="I52" s="104">
        <f t="shared" si="1"/>
        <v>0</v>
      </c>
      <c r="J52" s="104">
        <f t="shared" si="2"/>
        <v>0</v>
      </c>
      <c r="K52" s="15">
        <f t="shared" si="3"/>
        <v>24000</v>
      </c>
      <c r="L52" s="15">
        <v>24000</v>
      </c>
      <c r="M52" s="15">
        <v>24000</v>
      </c>
      <c r="N52" s="15">
        <v>24000</v>
      </c>
      <c r="O52" s="15"/>
    </row>
    <row r="53" spans="1:16" ht="12" customHeight="1">
      <c r="A53" s="127">
        <v>3612</v>
      </c>
      <c r="B53" s="127">
        <v>5171</v>
      </c>
      <c r="C53" s="114" t="s">
        <v>68</v>
      </c>
      <c r="D53" s="131">
        <v>0</v>
      </c>
      <c r="E53" s="131">
        <v>9000</v>
      </c>
      <c r="F53" s="131">
        <v>9000</v>
      </c>
      <c r="G53" s="102"/>
      <c r="H53" s="131">
        <v>9000</v>
      </c>
      <c r="I53" s="102">
        <f t="shared" si="1"/>
        <v>1</v>
      </c>
      <c r="J53" s="102">
        <f t="shared" si="2"/>
        <v>1</v>
      </c>
      <c r="K53" s="131">
        <f t="shared" si="3"/>
        <v>9000</v>
      </c>
      <c r="L53" s="131">
        <v>10000</v>
      </c>
      <c r="M53" s="131">
        <v>10000</v>
      </c>
      <c r="N53" s="131">
        <v>10000</v>
      </c>
      <c r="O53" s="7"/>
    </row>
    <row r="54" spans="1:16" ht="12" customHeight="1">
      <c r="A54" s="8" t="s">
        <v>27</v>
      </c>
      <c r="B54" s="8" t="s">
        <v>2</v>
      </c>
      <c r="C54" s="9" t="s">
        <v>26</v>
      </c>
      <c r="D54" s="10">
        <f>SUM(D49:D53)</f>
        <v>54000</v>
      </c>
      <c r="E54" s="10">
        <f>SUM(E49:E53)</f>
        <v>63000</v>
      </c>
      <c r="F54" s="10">
        <f>SUM(F49:F53)</f>
        <v>26289.51</v>
      </c>
      <c r="G54" s="103">
        <f t="shared" ref="G54:G105" si="29">IFERROR(F54/E54,"-")</f>
        <v>0.41729380952380951</v>
      </c>
      <c r="H54" s="10">
        <f>SUM(H49:H53)</f>
        <v>38402.509999999995</v>
      </c>
      <c r="I54" s="103">
        <f t="shared" si="1"/>
        <v>0.60956365079365071</v>
      </c>
      <c r="J54" s="103">
        <f t="shared" si="2"/>
        <v>0.60956365079365071</v>
      </c>
      <c r="K54" s="10">
        <f>SUM(K49:K53)</f>
        <v>63000</v>
      </c>
      <c r="L54" s="10">
        <f>SUM(L49:L53)</f>
        <v>84000</v>
      </c>
      <c r="M54" s="10">
        <f t="shared" ref="M54:N54" si="30">SUM(M49:M53)</f>
        <v>84000</v>
      </c>
      <c r="N54" s="10">
        <f t="shared" si="30"/>
        <v>84000</v>
      </c>
      <c r="O54" s="10"/>
    </row>
    <row r="55" spans="1:16" ht="12" customHeight="1">
      <c r="A55" s="127" t="s">
        <v>110</v>
      </c>
      <c r="B55" s="127" t="s">
        <v>80</v>
      </c>
      <c r="C55" s="114" t="s">
        <v>81</v>
      </c>
      <c r="D55" s="131">
        <v>600000</v>
      </c>
      <c r="E55" s="131">
        <v>363000</v>
      </c>
      <c r="F55" s="131">
        <v>143102.45000000001</v>
      </c>
      <c r="G55" s="102">
        <f t="shared" si="29"/>
        <v>0.39422162534435262</v>
      </c>
      <c r="H55" s="131">
        <v>165622.45000000001</v>
      </c>
      <c r="I55" s="102">
        <f t="shared" si="1"/>
        <v>0.45626019283746561</v>
      </c>
      <c r="J55" s="102">
        <f t="shared" si="2"/>
        <v>0.48286428571428575</v>
      </c>
      <c r="K55" s="131">
        <f>E55-20000</f>
        <v>343000</v>
      </c>
      <c r="L55" s="131">
        <v>200000</v>
      </c>
      <c r="M55" s="131">
        <v>200000</v>
      </c>
      <c r="N55" s="131">
        <v>200000</v>
      </c>
      <c r="O55" s="7"/>
    </row>
    <row r="56" spans="1:16" ht="12" customHeight="1">
      <c r="A56" s="5" t="s">
        <v>110</v>
      </c>
      <c r="B56" s="5" t="s">
        <v>63</v>
      </c>
      <c r="C56" s="6" t="s">
        <v>64</v>
      </c>
      <c r="D56" s="7">
        <v>30000</v>
      </c>
      <c r="E56" s="7">
        <v>30000</v>
      </c>
      <c r="F56" s="7">
        <v>20552</v>
      </c>
      <c r="G56" s="102">
        <f t="shared" si="29"/>
        <v>0.68506666666666671</v>
      </c>
      <c r="H56" s="7">
        <v>23224</v>
      </c>
      <c r="I56" s="102">
        <f t="shared" si="1"/>
        <v>0.77413333333333334</v>
      </c>
      <c r="J56" s="102">
        <f t="shared" si="2"/>
        <v>0.77413333333333334</v>
      </c>
      <c r="K56" s="7">
        <f t="shared" si="3"/>
        <v>30000</v>
      </c>
      <c r="L56" s="7">
        <v>30000</v>
      </c>
      <c r="M56" s="7">
        <v>30000</v>
      </c>
      <c r="N56" s="7">
        <v>30000</v>
      </c>
      <c r="O56" s="7" t="s">
        <v>267</v>
      </c>
    </row>
    <row r="57" spans="1:16" ht="12" customHeight="1">
      <c r="A57" s="127" t="s">
        <v>110</v>
      </c>
      <c r="B57" s="127" t="s">
        <v>67</v>
      </c>
      <c r="C57" s="114" t="s">
        <v>68</v>
      </c>
      <c r="D57" s="131">
        <v>60000</v>
      </c>
      <c r="E57" s="131">
        <v>297000</v>
      </c>
      <c r="F57" s="131">
        <v>296896.49</v>
      </c>
      <c r="G57" s="102">
        <f t="shared" si="29"/>
        <v>0.99965148148148142</v>
      </c>
      <c r="H57" s="131">
        <v>296896.49</v>
      </c>
      <c r="I57" s="102">
        <f t="shared" si="1"/>
        <v>0.99965148148148142</v>
      </c>
      <c r="J57" s="102">
        <f t="shared" si="2"/>
        <v>0.9365819873817034</v>
      </c>
      <c r="K57" s="131">
        <f>E57+20000</f>
        <v>317000</v>
      </c>
      <c r="L57" s="131">
        <v>150000</v>
      </c>
      <c r="M57" s="131">
        <v>170000</v>
      </c>
      <c r="N57" s="131">
        <v>170000</v>
      </c>
      <c r="O57" s="7" t="s">
        <v>268</v>
      </c>
    </row>
    <row r="58" spans="1:16" ht="12" customHeight="1">
      <c r="A58" s="8" t="s">
        <v>110</v>
      </c>
      <c r="B58" s="8" t="s">
        <v>2</v>
      </c>
      <c r="C58" s="9" t="s">
        <v>111</v>
      </c>
      <c r="D58" s="10">
        <f t="shared" ref="D58:E58" si="31">SUM(D55:D57)</f>
        <v>690000</v>
      </c>
      <c r="E58" s="10">
        <f t="shared" si="31"/>
        <v>690000</v>
      </c>
      <c r="F58" s="10">
        <f t="shared" ref="F58:H58" si="32">SUM(F55:F57)</f>
        <v>460550.94</v>
      </c>
      <c r="G58" s="103">
        <f t="shared" si="29"/>
        <v>0.66746513043478262</v>
      </c>
      <c r="H58" s="10">
        <f t="shared" si="32"/>
        <v>485742.94</v>
      </c>
      <c r="I58" s="103">
        <f t="shared" si="1"/>
        <v>0.70397527536231885</v>
      </c>
      <c r="J58" s="103">
        <f t="shared" si="2"/>
        <v>0.70397527536231885</v>
      </c>
      <c r="K58" s="10">
        <f t="shared" si="3"/>
        <v>690000</v>
      </c>
      <c r="L58" s="10">
        <f>SUM(L55:L57)</f>
        <v>380000</v>
      </c>
      <c r="M58" s="10">
        <f t="shared" ref="M58:N58" si="33">SUM(M55:M57)</f>
        <v>400000</v>
      </c>
      <c r="N58" s="10">
        <f t="shared" si="33"/>
        <v>400000</v>
      </c>
      <c r="O58" s="10"/>
    </row>
    <row r="59" spans="1:16" ht="12" customHeight="1">
      <c r="A59" s="5" t="s">
        <v>112</v>
      </c>
      <c r="B59" s="5" t="s">
        <v>113</v>
      </c>
      <c r="C59" s="6" t="s">
        <v>114</v>
      </c>
      <c r="D59" s="7">
        <v>20000</v>
      </c>
      <c r="E59" s="7">
        <v>20000</v>
      </c>
      <c r="F59" s="7">
        <v>20000</v>
      </c>
      <c r="G59" s="102">
        <f t="shared" si="29"/>
        <v>1</v>
      </c>
      <c r="H59" s="7">
        <v>20000</v>
      </c>
      <c r="I59" s="102">
        <f t="shared" si="1"/>
        <v>1</v>
      </c>
      <c r="J59" s="102">
        <f t="shared" si="2"/>
        <v>1</v>
      </c>
      <c r="K59" s="7">
        <f t="shared" si="3"/>
        <v>20000</v>
      </c>
      <c r="L59" s="7">
        <f t="shared" si="3"/>
        <v>20000</v>
      </c>
      <c r="M59" s="7">
        <v>20000</v>
      </c>
      <c r="N59" s="7">
        <f t="shared" ref="N59" si="34">H59</f>
        <v>20000</v>
      </c>
      <c r="O59" s="7"/>
    </row>
    <row r="60" spans="1:16" ht="12" customHeight="1">
      <c r="A60" s="8" t="s">
        <v>112</v>
      </c>
      <c r="B60" s="8" t="s">
        <v>2</v>
      </c>
      <c r="C60" s="9" t="s">
        <v>115</v>
      </c>
      <c r="D60" s="10">
        <f>SUM(D59:D59)</f>
        <v>20000</v>
      </c>
      <c r="E60" s="10">
        <f>SUM(E59:E59)</f>
        <v>20000</v>
      </c>
      <c r="F60" s="10">
        <f>SUM(F59:F59)</f>
        <v>20000</v>
      </c>
      <c r="G60" s="103">
        <f t="shared" si="29"/>
        <v>1</v>
      </c>
      <c r="H60" s="10">
        <f>SUM(H59:H59)</f>
        <v>20000</v>
      </c>
      <c r="I60" s="103">
        <f t="shared" si="1"/>
        <v>1</v>
      </c>
      <c r="J60" s="103">
        <f t="shared" si="2"/>
        <v>1</v>
      </c>
      <c r="K60" s="10">
        <f t="shared" si="3"/>
        <v>20000</v>
      </c>
      <c r="L60" s="10">
        <f>L59</f>
        <v>20000</v>
      </c>
      <c r="M60" s="10">
        <f t="shared" ref="M60:N60" si="35">M59</f>
        <v>20000</v>
      </c>
      <c r="N60" s="10">
        <f t="shared" si="35"/>
        <v>20000</v>
      </c>
      <c r="O60" s="10"/>
    </row>
    <row r="61" spans="1:16" ht="12" customHeight="1">
      <c r="A61" s="5" t="s">
        <v>24</v>
      </c>
      <c r="B61" s="5" t="s">
        <v>63</v>
      </c>
      <c r="C61" s="6" t="s">
        <v>64</v>
      </c>
      <c r="D61" s="7">
        <v>4600000</v>
      </c>
      <c r="E61" s="7">
        <v>4600000</v>
      </c>
      <c r="F61" s="7">
        <v>1075711.1599999999</v>
      </c>
      <c r="G61" s="102">
        <f t="shared" si="29"/>
        <v>0.23385025217391303</v>
      </c>
      <c r="H61" s="7">
        <v>1140961.1599999999</v>
      </c>
      <c r="I61" s="102">
        <f t="shared" si="1"/>
        <v>0.24803503478260869</v>
      </c>
      <c r="J61" s="102">
        <f t="shared" si="2"/>
        <v>0.24803503478260869</v>
      </c>
      <c r="K61" s="7">
        <f t="shared" si="3"/>
        <v>4600000</v>
      </c>
      <c r="L61" s="131">
        <v>3400000</v>
      </c>
      <c r="M61" s="131">
        <v>0</v>
      </c>
      <c r="N61" s="131">
        <v>0</v>
      </c>
      <c r="O61" s="7"/>
      <c r="P61" s="2"/>
    </row>
    <row r="62" spans="1:16" ht="12" customHeight="1">
      <c r="A62" s="8" t="s">
        <v>24</v>
      </c>
      <c r="B62" s="8" t="s">
        <v>2</v>
      </c>
      <c r="C62" s="9" t="s">
        <v>23</v>
      </c>
      <c r="D62" s="10">
        <f t="shared" ref="D62:E62" si="36">SUM(D61)</f>
        <v>4600000</v>
      </c>
      <c r="E62" s="10">
        <f t="shared" si="36"/>
        <v>4600000</v>
      </c>
      <c r="F62" s="10">
        <f t="shared" ref="F62:H62" si="37">SUM(F61)</f>
        <v>1075711.1599999999</v>
      </c>
      <c r="G62" s="103">
        <f t="shared" si="29"/>
        <v>0.23385025217391303</v>
      </c>
      <c r="H62" s="10">
        <f t="shared" si="37"/>
        <v>1140961.1599999999</v>
      </c>
      <c r="I62" s="103">
        <f t="shared" si="1"/>
        <v>0.24803503478260869</v>
      </c>
      <c r="J62" s="103">
        <f t="shared" si="2"/>
        <v>0.24803503478260869</v>
      </c>
      <c r="K62" s="10">
        <f t="shared" si="3"/>
        <v>4600000</v>
      </c>
      <c r="L62" s="10">
        <f>L61</f>
        <v>3400000</v>
      </c>
      <c r="M62" s="10">
        <f t="shared" ref="M62:N62" si="38">M61</f>
        <v>0</v>
      </c>
      <c r="N62" s="10">
        <f t="shared" si="38"/>
        <v>0</v>
      </c>
      <c r="O62" s="10"/>
    </row>
    <row r="63" spans="1:16" ht="16.2" customHeight="1">
      <c r="A63" s="127" t="s">
        <v>22</v>
      </c>
      <c r="B63" s="127" t="s">
        <v>116</v>
      </c>
      <c r="C63" s="114" t="s">
        <v>117</v>
      </c>
      <c r="D63" s="131">
        <v>780000</v>
      </c>
      <c r="E63" s="131">
        <v>780000</v>
      </c>
      <c r="F63" s="131">
        <v>647764</v>
      </c>
      <c r="G63" s="102">
        <f t="shared" si="29"/>
        <v>0.83046666666666669</v>
      </c>
      <c r="H63" s="131">
        <v>720764</v>
      </c>
      <c r="I63" s="102">
        <f t="shared" si="1"/>
        <v>0.92405641025641028</v>
      </c>
      <c r="J63" s="102">
        <f t="shared" si="2"/>
        <v>0.73547346938775515</v>
      </c>
      <c r="K63" s="131">
        <f>E63+200000</f>
        <v>980000</v>
      </c>
      <c r="L63" s="131">
        <v>950000</v>
      </c>
      <c r="M63" s="131">
        <v>950000</v>
      </c>
      <c r="N63" s="131">
        <v>950000</v>
      </c>
      <c r="O63" s="7"/>
    </row>
    <row r="64" spans="1:16" ht="12" customHeight="1">
      <c r="A64" s="5" t="s">
        <v>22</v>
      </c>
      <c r="B64" s="5" t="s">
        <v>94</v>
      </c>
      <c r="C64" s="6" t="s">
        <v>95</v>
      </c>
      <c r="D64" s="7">
        <v>20000</v>
      </c>
      <c r="E64" s="7">
        <v>10000</v>
      </c>
      <c r="F64" s="7">
        <v>7058</v>
      </c>
      <c r="G64" s="102">
        <f t="shared" si="29"/>
        <v>0.70579999999999998</v>
      </c>
      <c r="H64" s="7">
        <v>7058</v>
      </c>
      <c r="I64" s="102">
        <f t="shared" si="1"/>
        <v>0.70579999999999998</v>
      </c>
      <c r="J64" s="102">
        <f t="shared" si="2"/>
        <v>0.70579999999999998</v>
      </c>
      <c r="K64" s="7">
        <v>10000</v>
      </c>
      <c r="L64" s="7">
        <v>10000</v>
      </c>
      <c r="M64" s="7">
        <v>10000</v>
      </c>
      <c r="N64" s="7">
        <v>10000</v>
      </c>
      <c r="O64" s="7"/>
    </row>
    <row r="65" spans="1:15" ht="12" customHeight="1">
      <c r="A65" s="127">
        <v>3639</v>
      </c>
      <c r="B65" s="127">
        <v>5132</v>
      </c>
      <c r="C65" s="114" t="s">
        <v>165</v>
      </c>
      <c r="D65" s="131">
        <v>30000</v>
      </c>
      <c r="E65" s="131">
        <v>30000</v>
      </c>
      <c r="F65" s="131">
        <v>9677</v>
      </c>
      <c r="G65" s="102">
        <f t="shared" si="29"/>
        <v>0.32256666666666667</v>
      </c>
      <c r="H65" s="131">
        <v>10049</v>
      </c>
      <c r="I65" s="102">
        <f t="shared" si="1"/>
        <v>0.33496666666666669</v>
      </c>
      <c r="J65" s="102">
        <f t="shared" si="2"/>
        <v>0.50244999999999995</v>
      </c>
      <c r="K65" s="131">
        <v>20000</v>
      </c>
      <c r="L65" s="131">
        <v>15000</v>
      </c>
      <c r="M65" s="131">
        <v>15000</v>
      </c>
      <c r="N65" s="131">
        <v>15000</v>
      </c>
      <c r="O65" s="7"/>
    </row>
    <row r="66" spans="1:15" ht="12" customHeight="1">
      <c r="A66" s="127">
        <v>3639</v>
      </c>
      <c r="B66" s="127">
        <v>5137</v>
      </c>
      <c r="C66" s="114" t="s">
        <v>92</v>
      </c>
      <c r="D66" s="131">
        <v>45000</v>
      </c>
      <c r="E66" s="131">
        <v>45000</v>
      </c>
      <c r="F66" s="131">
        <v>18413.22</v>
      </c>
      <c r="G66" s="102">
        <f t="shared" si="29"/>
        <v>0.40918266666666669</v>
      </c>
      <c r="H66" s="131">
        <v>22213.22</v>
      </c>
      <c r="I66" s="102">
        <f t="shared" si="1"/>
        <v>0.49362711111111113</v>
      </c>
      <c r="J66" s="102">
        <f t="shared" si="2"/>
        <v>0.88852880000000001</v>
      </c>
      <c r="K66" s="131">
        <f>E66-20000</f>
        <v>25000</v>
      </c>
      <c r="L66" s="131">
        <f>25000+250000+50000</f>
        <v>325000</v>
      </c>
      <c r="M66" s="131">
        <v>150000</v>
      </c>
      <c r="N66" s="131">
        <v>200000</v>
      </c>
      <c r="O66" s="288" t="s">
        <v>462</v>
      </c>
    </row>
    <row r="67" spans="1:15" ht="12" customHeight="1">
      <c r="A67" s="127" t="s">
        <v>22</v>
      </c>
      <c r="B67" s="127" t="s">
        <v>65</v>
      </c>
      <c r="C67" s="114" t="s">
        <v>66</v>
      </c>
      <c r="D67" s="131">
        <v>25000</v>
      </c>
      <c r="E67" s="131">
        <v>35000</v>
      </c>
      <c r="F67" s="131">
        <v>30361</v>
      </c>
      <c r="G67" s="102">
        <f t="shared" si="29"/>
        <v>0.86745714285714282</v>
      </c>
      <c r="H67" s="131">
        <v>43477</v>
      </c>
      <c r="I67" s="102">
        <f t="shared" si="1"/>
        <v>1.2422</v>
      </c>
      <c r="J67" s="102">
        <f t="shared" si="2"/>
        <v>0.79049090909090913</v>
      </c>
      <c r="K67" s="131">
        <f>E67+20000</f>
        <v>55000</v>
      </c>
      <c r="L67" s="131">
        <v>55000</v>
      </c>
      <c r="M67" s="131">
        <v>60000</v>
      </c>
      <c r="N67" s="131">
        <v>60000</v>
      </c>
      <c r="O67" s="7"/>
    </row>
    <row r="68" spans="1:15" ht="12" customHeight="1">
      <c r="A68" s="127" t="s">
        <v>22</v>
      </c>
      <c r="B68" s="127" t="s">
        <v>118</v>
      </c>
      <c r="C68" s="114" t="s">
        <v>119</v>
      </c>
      <c r="D68" s="131">
        <v>30000</v>
      </c>
      <c r="E68" s="131">
        <v>30000</v>
      </c>
      <c r="F68" s="131">
        <v>9785.06</v>
      </c>
      <c r="G68" s="102">
        <f t="shared" si="29"/>
        <v>0.32616866666666666</v>
      </c>
      <c r="H68" s="131">
        <v>11186.95</v>
      </c>
      <c r="I68" s="102">
        <f t="shared" si="1"/>
        <v>0.37289833333333333</v>
      </c>
      <c r="J68" s="102">
        <f t="shared" si="2"/>
        <v>0.74579666666666666</v>
      </c>
      <c r="K68" s="131">
        <f>E68-15000</f>
        <v>15000</v>
      </c>
      <c r="L68" s="131">
        <v>15000</v>
      </c>
      <c r="M68" s="131">
        <v>12000</v>
      </c>
      <c r="N68" s="131">
        <v>10000</v>
      </c>
      <c r="O68" s="7" t="s">
        <v>269</v>
      </c>
    </row>
    <row r="69" spans="1:15" ht="12" customHeight="1">
      <c r="A69" s="127" t="s">
        <v>22</v>
      </c>
      <c r="B69" s="127" t="s">
        <v>103</v>
      </c>
      <c r="C69" s="114" t="s">
        <v>104</v>
      </c>
      <c r="D69" s="131">
        <v>35000</v>
      </c>
      <c r="E69" s="131">
        <v>35000</v>
      </c>
      <c r="F69" s="131">
        <v>18637.5</v>
      </c>
      <c r="G69" s="102">
        <f t="shared" si="29"/>
        <v>0.53249999999999997</v>
      </c>
      <c r="H69" s="131">
        <v>21784.5</v>
      </c>
      <c r="I69" s="102">
        <f t="shared" ref="I69:I129" si="39">IFERROR(H69/E69,"-")</f>
        <v>0.6224142857142857</v>
      </c>
      <c r="J69" s="102">
        <f t="shared" ref="J69:J129" si="40">IFERROR(H69/K69,"-")</f>
        <v>0.6224142857142857</v>
      </c>
      <c r="K69" s="131">
        <f t="shared" ref="K69:L128" si="41">E69</f>
        <v>35000</v>
      </c>
      <c r="L69" s="131">
        <v>35000</v>
      </c>
      <c r="M69" s="131">
        <v>35000</v>
      </c>
      <c r="N69" s="131">
        <v>35000</v>
      </c>
      <c r="O69" s="7"/>
    </row>
    <row r="70" spans="1:15" ht="12" customHeight="1">
      <c r="A70" s="127" t="s">
        <v>22</v>
      </c>
      <c r="B70" s="127" t="s">
        <v>63</v>
      </c>
      <c r="C70" s="114" t="s">
        <v>64</v>
      </c>
      <c r="D70" s="131">
        <v>200000</v>
      </c>
      <c r="E70" s="131">
        <v>200000</v>
      </c>
      <c r="F70" s="131">
        <v>83065.11</v>
      </c>
      <c r="G70" s="102">
        <f t="shared" si="29"/>
        <v>0.41532554999999999</v>
      </c>
      <c r="H70" s="131">
        <v>104802.49</v>
      </c>
      <c r="I70" s="102">
        <f t="shared" si="39"/>
        <v>0.52401245000000007</v>
      </c>
      <c r="J70" s="102">
        <f t="shared" si="40"/>
        <v>0.69868326666666669</v>
      </c>
      <c r="K70" s="131">
        <v>150000</v>
      </c>
      <c r="L70" s="131">
        <v>100000</v>
      </c>
      <c r="M70" s="131">
        <v>110000</v>
      </c>
      <c r="N70" s="131">
        <v>115000</v>
      </c>
      <c r="O70" s="99" t="s">
        <v>270</v>
      </c>
    </row>
    <row r="71" spans="1:15" ht="12" customHeight="1">
      <c r="A71" s="5" t="s">
        <v>22</v>
      </c>
      <c r="B71" s="5" t="s">
        <v>120</v>
      </c>
      <c r="C71" s="6" t="s">
        <v>121</v>
      </c>
      <c r="D71" s="7">
        <v>30000</v>
      </c>
      <c r="E71" s="7">
        <v>30000</v>
      </c>
      <c r="F71" s="7">
        <v>15209</v>
      </c>
      <c r="G71" s="102">
        <f t="shared" si="29"/>
        <v>0.50696666666666668</v>
      </c>
      <c r="H71" s="7">
        <v>15209</v>
      </c>
      <c r="I71" s="102">
        <f t="shared" si="39"/>
        <v>0.50696666666666668</v>
      </c>
      <c r="J71" s="102">
        <f t="shared" si="40"/>
        <v>0.76044999999999996</v>
      </c>
      <c r="K71" s="7">
        <f>E71-10000</f>
        <v>20000</v>
      </c>
      <c r="L71" s="131">
        <f>20000+250000</f>
        <v>270000</v>
      </c>
      <c r="M71" s="131">
        <f>100000</f>
        <v>100000</v>
      </c>
      <c r="N71" s="131">
        <f>120000</f>
        <v>120000</v>
      </c>
      <c r="O71" s="7" t="s">
        <v>459</v>
      </c>
    </row>
    <row r="72" spans="1:15" ht="12" customHeight="1">
      <c r="A72" s="8" t="s">
        <v>22</v>
      </c>
      <c r="B72" s="8" t="s">
        <v>2</v>
      </c>
      <c r="C72" s="9" t="s">
        <v>21</v>
      </c>
      <c r="D72" s="10">
        <f>SUM(D63:D71)</f>
        <v>1195000</v>
      </c>
      <c r="E72" s="10">
        <f>SUM(E63:E71)</f>
        <v>1195000</v>
      </c>
      <c r="F72" s="10">
        <f>SUM(F63:F71)</f>
        <v>839969.89</v>
      </c>
      <c r="G72" s="103">
        <f t="shared" si="29"/>
        <v>0.70290367364016737</v>
      </c>
      <c r="H72" s="10">
        <f>SUM(H63:H71)</f>
        <v>956544.15999999992</v>
      </c>
      <c r="I72" s="103">
        <f t="shared" si="39"/>
        <v>0.80045536401673634</v>
      </c>
      <c r="J72" s="103">
        <f t="shared" si="40"/>
        <v>0.73018638167938921</v>
      </c>
      <c r="K72" s="10">
        <f>SUM(K63:K71)</f>
        <v>1310000</v>
      </c>
      <c r="L72" s="10">
        <f>SUM(L63:L71)</f>
        <v>1775000</v>
      </c>
      <c r="M72" s="10">
        <f t="shared" ref="M72:N72" si="42">SUM(M63:M71)</f>
        <v>1442000</v>
      </c>
      <c r="N72" s="10">
        <f t="shared" si="42"/>
        <v>1515000</v>
      </c>
      <c r="O72" s="10"/>
    </row>
    <row r="73" spans="1:15" ht="12" customHeight="1">
      <c r="A73" s="5" t="s">
        <v>122</v>
      </c>
      <c r="B73" s="5" t="s">
        <v>63</v>
      </c>
      <c r="C73" s="6" t="s">
        <v>64</v>
      </c>
      <c r="D73" s="7">
        <v>60000</v>
      </c>
      <c r="E73" s="7">
        <v>60000</v>
      </c>
      <c r="F73" s="7">
        <v>39286.28</v>
      </c>
      <c r="G73" s="102">
        <f t="shared" si="29"/>
        <v>0.65477133333333326</v>
      </c>
      <c r="H73" s="7">
        <v>51214.46</v>
      </c>
      <c r="I73" s="102">
        <f t="shared" si="39"/>
        <v>0.85357433333333332</v>
      </c>
      <c r="J73" s="102">
        <f t="shared" si="40"/>
        <v>0.85357433333333332</v>
      </c>
      <c r="K73" s="7">
        <f t="shared" si="41"/>
        <v>60000</v>
      </c>
      <c r="L73" s="7">
        <v>55000</v>
      </c>
      <c r="M73" s="7">
        <v>65000</v>
      </c>
      <c r="N73" s="7">
        <v>70000</v>
      </c>
      <c r="O73" s="7" t="s">
        <v>271</v>
      </c>
    </row>
    <row r="74" spans="1:15" ht="12" customHeight="1">
      <c r="A74" s="8" t="s">
        <v>122</v>
      </c>
      <c r="B74" s="8" t="s">
        <v>2</v>
      </c>
      <c r="C74" s="9" t="s">
        <v>123</v>
      </c>
      <c r="D74" s="10">
        <f t="shared" ref="D74:E74" si="43">SUM(D73)</f>
        <v>60000</v>
      </c>
      <c r="E74" s="10">
        <f t="shared" si="43"/>
        <v>60000</v>
      </c>
      <c r="F74" s="10">
        <f t="shared" ref="F74:H74" si="44">SUM(F73)</f>
        <v>39286.28</v>
      </c>
      <c r="G74" s="103">
        <f t="shared" si="29"/>
        <v>0.65477133333333326</v>
      </c>
      <c r="H74" s="10">
        <f t="shared" si="44"/>
        <v>51214.46</v>
      </c>
      <c r="I74" s="103">
        <f t="shared" si="39"/>
        <v>0.85357433333333332</v>
      </c>
      <c r="J74" s="103">
        <f t="shared" si="40"/>
        <v>0.85357433333333332</v>
      </c>
      <c r="K74" s="10">
        <f t="shared" si="41"/>
        <v>60000</v>
      </c>
      <c r="L74" s="10">
        <f>L73</f>
        <v>55000</v>
      </c>
      <c r="M74" s="10">
        <f t="shared" ref="M74:N74" si="45">M73</f>
        <v>65000</v>
      </c>
      <c r="N74" s="10">
        <f t="shared" si="45"/>
        <v>70000</v>
      </c>
      <c r="O74" s="10"/>
    </row>
    <row r="75" spans="1:15" ht="12" customHeight="1">
      <c r="A75" s="127" t="s">
        <v>124</v>
      </c>
      <c r="B75" s="127" t="s">
        <v>63</v>
      </c>
      <c r="C75" s="114" t="s">
        <v>64</v>
      </c>
      <c r="D75" s="131">
        <v>1100000</v>
      </c>
      <c r="E75" s="131">
        <v>1100000</v>
      </c>
      <c r="F75" s="131">
        <v>592858.56999999995</v>
      </c>
      <c r="G75" s="102">
        <f t="shared" si="29"/>
        <v>0.53896233636363633</v>
      </c>
      <c r="H75" s="131">
        <v>760206.57</v>
      </c>
      <c r="I75" s="102">
        <f t="shared" si="39"/>
        <v>0.69109688181818174</v>
      </c>
      <c r="J75" s="102">
        <f t="shared" si="40"/>
        <v>0.69109688181818174</v>
      </c>
      <c r="K75" s="7">
        <v>1100000</v>
      </c>
      <c r="L75" s="131">
        <v>1200000</v>
      </c>
      <c r="M75" s="131">
        <v>1300000</v>
      </c>
      <c r="N75" s="131">
        <v>1350000</v>
      </c>
      <c r="O75" s="7"/>
    </row>
    <row r="76" spans="1:15" ht="12" customHeight="1">
      <c r="A76" s="8" t="s">
        <v>124</v>
      </c>
      <c r="B76" s="8" t="s">
        <v>2</v>
      </c>
      <c r="C76" s="9" t="s">
        <v>125</v>
      </c>
      <c r="D76" s="10">
        <f t="shared" ref="D76:E76" si="46">SUM(D75)</f>
        <v>1100000</v>
      </c>
      <c r="E76" s="10">
        <f t="shared" si="46"/>
        <v>1100000</v>
      </c>
      <c r="F76" s="10">
        <f t="shared" ref="F76:H76" si="47">SUM(F75)</f>
        <v>592858.56999999995</v>
      </c>
      <c r="G76" s="103">
        <f t="shared" si="29"/>
        <v>0.53896233636363633</v>
      </c>
      <c r="H76" s="10">
        <f t="shared" si="47"/>
        <v>760206.57</v>
      </c>
      <c r="I76" s="103">
        <f t="shared" si="39"/>
        <v>0.69109688181818174</v>
      </c>
      <c r="J76" s="103">
        <f t="shared" si="40"/>
        <v>0.69109688181818174</v>
      </c>
      <c r="K76" s="10">
        <f>K75</f>
        <v>1100000</v>
      </c>
      <c r="L76" s="10">
        <f>L75</f>
        <v>1200000</v>
      </c>
      <c r="M76" s="10">
        <f t="shared" ref="M76:N76" si="48">M75</f>
        <v>1300000</v>
      </c>
      <c r="N76" s="10">
        <f t="shared" si="48"/>
        <v>1350000</v>
      </c>
      <c r="O76" s="10"/>
    </row>
    <row r="77" spans="1:15" ht="12" customHeight="1">
      <c r="A77" s="5" t="s">
        <v>20</v>
      </c>
      <c r="B77" s="5" t="s">
        <v>63</v>
      </c>
      <c r="C77" s="6" t="s">
        <v>64</v>
      </c>
      <c r="D77" s="7">
        <v>700000</v>
      </c>
      <c r="E77" s="7">
        <v>700000</v>
      </c>
      <c r="F77" s="7">
        <v>499566.96</v>
      </c>
      <c r="G77" s="102">
        <f t="shared" si="29"/>
        <v>0.71366708571428572</v>
      </c>
      <c r="H77" s="7">
        <v>624601.1</v>
      </c>
      <c r="I77" s="102">
        <f t="shared" si="39"/>
        <v>0.89228728571428573</v>
      </c>
      <c r="J77" s="102">
        <f t="shared" si="40"/>
        <v>0.89228728571428573</v>
      </c>
      <c r="K77" s="7">
        <f t="shared" si="41"/>
        <v>700000</v>
      </c>
      <c r="L77" s="7">
        <v>750000</v>
      </c>
      <c r="M77" s="7">
        <v>800000</v>
      </c>
      <c r="N77" s="7">
        <v>800000</v>
      </c>
      <c r="O77" s="7" t="s">
        <v>272</v>
      </c>
    </row>
    <row r="78" spans="1:15" ht="16.2" customHeight="1">
      <c r="A78" s="8" t="s">
        <v>20</v>
      </c>
      <c r="B78" s="8" t="s">
        <v>2</v>
      </c>
      <c r="C78" s="9" t="s">
        <v>19</v>
      </c>
      <c r="D78" s="10">
        <f t="shared" ref="D78:E78" si="49">SUM(D77)</f>
        <v>700000</v>
      </c>
      <c r="E78" s="10">
        <f t="shared" si="49"/>
        <v>700000</v>
      </c>
      <c r="F78" s="10">
        <f t="shared" ref="F78:H78" si="50">SUM(F77)</f>
        <v>499566.96</v>
      </c>
      <c r="G78" s="103">
        <f t="shared" si="29"/>
        <v>0.71366708571428572</v>
      </c>
      <c r="H78" s="10">
        <f t="shared" si="50"/>
        <v>624601.1</v>
      </c>
      <c r="I78" s="103">
        <f t="shared" si="39"/>
        <v>0.89228728571428573</v>
      </c>
      <c r="J78" s="103">
        <f t="shared" si="40"/>
        <v>0.89228728571428573</v>
      </c>
      <c r="K78" s="10">
        <f t="shared" si="41"/>
        <v>700000</v>
      </c>
      <c r="L78" s="10">
        <f>L77</f>
        <v>750000</v>
      </c>
      <c r="M78" s="10">
        <f t="shared" ref="M78:N78" si="51">M77</f>
        <v>800000</v>
      </c>
      <c r="N78" s="10">
        <f t="shared" si="51"/>
        <v>800000</v>
      </c>
      <c r="O78" s="10"/>
    </row>
    <row r="79" spans="1:15" ht="12" customHeight="1">
      <c r="A79" s="5" t="s">
        <v>15</v>
      </c>
      <c r="B79" s="5" t="s">
        <v>94</v>
      </c>
      <c r="C79" s="6" t="s">
        <v>95</v>
      </c>
      <c r="D79" s="7">
        <v>33000</v>
      </c>
      <c r="E79" s="7">
        <v>33000</v>
      </c>
      <c r="F79" s="7">
        <v>3528</v>
      </c>
      <c r="G79" s="102">
        <f t="shared" si="29"/>
        <v>0.10690909090909091</v>
      </c>
      <c r="H79" s="7">
        <v>3528</v>
      </c>
      <c r="I79" s="102">
        <f t="shared" si="39"/>
        <v>0.10690909090909091</v>
      </c>
      <c r="J79" s="102">
        <f t="shared" si="40"/>
        <v>0.10690909090909091</v>
      </c>
      <c r="K79" s="7">
        <f t="shared" si="41"/>
        <v>33000</v>
      </c>
      <c r="L79" s="7">
        <v>20000</v>
      </c>
      <c r="M79" s="7">
        <v>20000</v>
      </c>
      <c r="N79" s="7">
        <v>20000</v>
      </c>
      <c r="O79" s="7" t="s">
        <v>273</v>
      </c>
    </row>
    <row r="80" spans="1:15" ht="12" customHeight="1">
      <c r="A80" s="5" t="s">
        <v>15</v>
      </c>
      <c r="B80" s="5" t="s">
        <v>65</v>
      </c>
      <c r="C80" s="6" t="s">
        <v>66</v>
      </c>
      <c r="D80" s="7">
        <v>33000</v>
      </c>
      <c r="E80" s="7">
        <v>33000</v>
      </c>
      <c r="F80" s="7">
        <v>28475</v>
      </c>
      <c r="G80" s="102">
        <f t="shared" si="29"/>
        <v>0.86287878787878791</v>
      </c>
      <c r="H80" s="7">
        <v>30534</v>
      </c>
      <c r="I80" s="102">
        <f t="shared" si="39"/>
        <v>0.92527272727272725</v>
      </c>
      <c r="J80" s="102">
        <f t="shared" si="40"/>
        <v>0.92527272727272725</v>
      </c>
      <c r="K80" s="7">
        <f t="shared" si="41"/>
        <v>33000</v>
      </c>
      <c r="L80" s="7">
        <v>35000</v>
      </c>
      <c r="M80" s="7">
        <v>35000</v>
      </c>
      <c r="N80" s="7">
        <v>35000</v>
      </c>
      <c r="O80" s="7"/>
    </row>
    <row r="81" spans="1:15" ht="12" customHeight="1">
      <c r="A81" s="5" t="s">
        <v>15</v>
      </c>
      <c r="B81" s="5" t="s">
        <v>103</v>
      </c>
      <c r="C81" s="6" t="s">
        <v>104</v>
      </c>
      <c r="D81" s="7">
        <v>30000</v>
      </c>
      <c r="E81" s="7">
        <v>30000</v>
      </c>
      <c r="F81" s="7">
        <v>21530</v>
      </c>
      <c r="G81" s="102">
        <f t="shared" si="29"/>
        <v>0.71766666666666667</v>
      </c>
      <c r="H81" s="7">
        <v>23124</v>
      </c>
      <c r="I81" s="102">
        <f t="shared" si="39"/>
        <v>0.77080000000000004</v>
      </c>
      <c r="J81" s="102">
        <f t="shared" si="40"/>
        <v>0.77080000000000004</v>
      </c>
      <c r="K81" s="7">
        <f t="shared" si="41"/>
        <v>30000</v>
      </c>
      <c r="L81" s="7">
        <v>30000</v>
      </c>
      <c r="M81" s="7">
        <v>30000</v>
      </c>
      <c r="N81" s="7">
        <v>30000</v>
      </c>
      <c r="O81" s="7"/>
    </row>
    <row r="82" spans="1:15" ht="12" customHeight="1">
      <c r="A82" s="127" t="s">
        <v>15</v>
      </c>
      <c r="B82" s="127" t="s">
        <v>63</v>
      </c>
      <c r="C82" s="114" t="s">
        <v>64</v>
      </c>
      <c r="D82" s="131">
        <v>70000</v>
      </c>
      <c r="E82" s="131">
        <v>70000</v>
      </c>
      <c r="F82" s="131">
        <v>20298.990000000002</v>
      </c>
      <c r="G82" s="102">
        <f t="shared" si="29"/>
        <v>0.28998557142857145</v>
      </c>
      <c r="H82" s="131">
        <v>37339.14</v>
      </c>
      <c r="I82" s="102">
        <f t="shared" si="39"/>
        <v>0.53341628571428568</v>
      </c>
      <c r="J82" s="102">
        <f t="shared" si="40"/>
        <v>0.74678279999999997</v>
      </c>
      <c r="K82" s="131">
        <v>50000</v>
      </c>
      <c r="L82" s="131">
        <v>50000</v>
      </c>
      <c r="M82" s="131">
        <v>50000</v>
      </c>
      <c r="N82" s="131">
        <v>50000</v>
      </c>
      <c r="O82" s="7"/>
    </row>
    <row r="83" spans="1:15" ht="12" customHeight="1">
      <c r="A83" s="8" t="s">
        <v>15</v>
      </c>
      <c r="B83" s="8" t="s">
        <v>2</v>
      </c>
      <c r="C83" s="9" t="s">
        <v>14</v>
      </c>
      <c r="D83" s="10">
        <f>SUM(D79:D82)</f>
        <v>166000</v>
      </c>
      <c r="E83" s="10">
        <f>SUM(E79:E82)</f>
        <v>166000</v>
      </c>
      <c r="F83" s="10">
        <f>SUM(F79:F82)</f>
        <v>73831.990000000005</v>
      </c>
      <c r="G83" s="103">
        <f t="shared" si="29"/>
        <v>0.44477102409638558</v>
      </c>
      <c r="H83" s="10">
        <f>SUM(H79:H82)</f>
        <v>94525.14</v>
      </c>
      <c r="I83" s="103">
        <f t="shared" si="39"/>
        <v>0.56942855421686744</v>
      </c>
      <c r="J83" s="103">
        <f t="shared" si="40"/>
        <v>0.64743246575342461</v>
      </c>
      <c r="K83" s="10">
        <f>SUM(K79:K82)</f>
        <v>146000</v>
      </c>
      <c r="L83" s="10">
        <f>SUM(L79:L82)</f>
        <v>135000</v>
      </c>
      <c r="M83" s="10">
        <f t="shared" ref="M83:N83" si="52">SUM(M79:M82)</f>
        <v>135000</v>
      </c>
      <c r="N83" s="10">
        <f t="shared" si="52"/>
        <v>135000</v>
      </c>
      <c r="O83" s="10"/>
    </row>
    <row r="84" spans="1:15" ht="12" customHeight="1">
      <c r="A84" s="5" t="s">
        <v>126</v>
      </c>
      <c r="B84" s="5" t="s">
        <v>107</v>
      </c>
      <c r="C84" s="6" t="s">
        <v>108</v>
      </c>
      <c r="D84" s="7">
        <v>10000</v>
      </c>
      <c r="E84" s="7">
        <v>10000</v>
      </c>
      <c r="F84" s="7">
        <v>0</v>
      </c>
      <c r="G84" s="102">
        <f t="shared" si="29"/>
        <v>0</v>
      </c>
      <c r="H84" s="7">
        <v>0</v>
      </c>
      <c r="I84" s="102">
        <f t="shared" si="39"/>
        <v>0</v>
      </c>
      <c r="J84" s="102" t="str">
        <f t="shared" si="40"/>
        <v>-</v>
      </c>
      <c r="K84" s="7">
        <v>0</v>
      </c>
      <c r="L84" s="7">
        <v>10000</v>
      </c>
      <c r="M84" s="7">
        <v>10000</v>
      </c>
      <c r="N84" s="7">
        <v>10000</v>
      </c>
      <c r="O84" s="7" t="s">
        <v>457</v>
      </c>
    </row>
    <row r="85" spans="1:15" ht="16.2" customHeight="1">
      <c r="A85" s="8" t="s">
        <v>126</v>
      </c>
      <c r="B85" s="8" t="s">
        <v>2</v>
      </c>
      <c r="C85" s="9" t="s">
        <v>127</v>
      </c>
      <c r="D85" s="10">
        <f t="shared" ref="D85:E85" si="53">SUM(D84)</f>
        <v>10000</v>
      </c>
      <c r="E85" s="10">
        <f t="shared" si="53"/>
        <v>10000</v>
      </c>
      <c r="F85" s="10">
        <f t="shared" ref="F85:H85" si="54">SUM(F84)</f>
        <v>0</v>
      </c>
      <c r="G85" s="103">
        <f t="shared" si="29"/>
        <v>0</v>
      </c>
      <c r="H85" s="10">
        <f t="shared" si="54"/>
        <v>0</v>
      </c>
      <c r="I85" s="103">
        <f t="shared" si="39"/>
        <v>0</v>
      </c>
      <c r="J85" s="103">
        <f t="shared" si="40"/>
        <v>0</v>
      </c>
      <c r="K85" s="10">
        <f t="shared" si="41"/>
        <v>10000</v>
      </c>
      <c r="L85" s="10">
        <f>SUM(L84)</f>
        <v>10000</v>
      </c>
      <c r="M85" s="10">
        <f t="shared" ref="M85:N85" si="55">SUM(M84)</f>
        <v>10000</v>
      </c>
      <c r="N85" s="10">
        <f t="shared" si="55"/>
        <v>10000</v>
      </c>
      <c r="O85" s="10"/>
    </row>
    <row r="86" spans="1:15" ht="12" customHeight="1">
      <c r="A86" s="5">
        <v>5213</v>
      </c>
      <c r="B86" s="5" t="s">
        <v>128</v>
      </c>
      <c r="C86" s="6" t="s">
        <v>129</v>
      </c>
      <c r="D86" s="7">
        <v>5000</v>
      </c>
      <c r="E86" s="7">
        <v>5000</v>
      </c>
      <c r="F86" s="7">
        <v>0</v>
      </c>
      <c r="G86" s="102">
        <f t="shared" si="29"/>
        <v>0</v>
      </c>
      <c r="H86" s="7">
        <v>0</v>
      </c>
      <c r="I86" s="102">
        <f t="shared" si="39"/>
        <v>0</v>
      </c>
      <c r="J86" s="102">
        <f t="shared" si="40"/>
        <v>0</v>
      </c>
      <c r="K86" s="7">
        <f t="shared" si="41"/>
        <v>5000</v>
      </c>
      <c r="L86" s="7">
        <v>5000</v>
      </c>
      <c r="M86" s="7">
        <v>5000</v>
      </c>
      <c r="N86" s="7">
        <v>5000</v>
      </c>
      <c r="O86" s="7" t="s">
        <v>274</v>
      </c>
    </row>
    <row r="87" spans="1:15" ht="12" customHeight="1">
      <c r="A87" s="5">
        <v>5213</v>
      </c>
      <c r="B87" s="5" t="s">
        <v>130</v>
      </c>
      <c r="C87" s="6" t="s">
        <v>131</v>
      </c>
      <c r="D87" s="7">
        <v>5000</v>
      </c>
      <c r="E87" s="7">
        <v>5000</v>
      </c>
      <c r="F87" s="7">
        <v>0</v>
      </c>
      <c r="G87" s="102">
        <f t="shared" si="29"/>
        <v>0</v>
      </c>
      <c r="H87" s="7">
        <v>0</v>
      </c>
      <c r="I87" s="102">
        <f t="shared" si="39"/>
        <v>0</v>
      </c>
      <c r="J87" s="102">
        <f t="shared" si="40"/>
        <v>0</v>
      </c>
      <c r="K87" s="7">
        <f t="shared" si="41"/>
        <v>5000</v>
      </c>
      <c r="L87" s="7">
        <v>5000</v>
      </c>
      <c r="M87" s="7">
        <v>5000</v>
      </c>
      <c r="N87" s="7">
        <v>5000</v>
      </c>
      <c r="O87" s="7"/>
    </row>
    <row r="88" spans="1:15" ht="12" customHeight="1">
      <c r="A88" s="8">
        <v>5213</v>
      </c>
      <c r="B88" s="8" t="s">
        <v>2</v>
      </c>
      <c r="C88" s="9" t="s">
        <v>166</v>
      </c>
      <c r="D88" s="10">
        <f>SUM(D86:D87)</f>
        <v>10000</v>
      </c>
      <c r="E88" s="10">
        <f>SUM(E86:E87)</f>
        <v>10000</v>
      </c>
      <c r="F88" s="10">
        <f>SUM(F86:F87)</f>
        <v>0</v>
      </c>
      <c r="G88" s="103">
        <f t="shared" si="29"/>
        <v>0</v>
      </c>
      <c r="H88" s="10">
        <f>SUM(H86:H87)</f>
        <v>0</v>
      </c>
      <c r="I88" s="103">
        <f t="shared" si="39"/>
        <v>0</v>
      </c>
      <c r="J88" s="103">
        <f t="shared" si="40"/>
        <v>0</v>
      </c>
      <c r="K88" s="10">
        <f t="shared" si="41"/>
        <v>10000</v>
      </c>
      <c r="L88" s="10">
        <f>SUM(L86:L87)</f>
        <v>10000</v>
      </c>
      <c r="M88" s="10">
        <f t="shared" ref="M88:N88" si="56">SUM(M86:M87)</f>
        <v>10000</v>
      </c>
      <c r="N88" s="10">
        <f t="shared" si="56"/>
        <v>10000</v>
      </c>
      <c r="O88" s="10"/>
    </row>
    <row r="89" spans="1:15" ht="12" customHeight="1">
      <c r="A89" s="5">
        <v>5512</v>
      </c>
      <c r="B89" s="5">
        <v>5137</v>
      </c>
      <c r="C89" s="6" t="s">
        <v>92</v>
      </c>
      <c r="D89" s="7">
        <v>173000</v>
      </c>
      <c r="E89" s="7">
        <v>128900</v>
      </c>
      <c r="F89" s="7">
        <v>7200</v>
      </c>
      <c r="G89" s="102">
        <f t="shared" si="29"/>
        <v>5.5857253685027156E-2</v>
      </c>
      <c r="H89" s="7">
        <v>10957</v>
      </c>
      <c r="I89" s="102">
        <f t="shared" si="39"/>
        <v>8.5003878975950353E-2</v>
      </c>
      <c r="J89" s="102">
        <f t="shared" si="40"/>
        <v>8.5003878975950353E-2</v>
      </c>
      <c r="K89" s="7">
        <f t="shared" si="41"/>
        <v>128900</v>
      </c>
      <c r="L89" s="7">
        <v>180000</v>
      </c>
      <c r="M89" s="7">
        <v>170000</v>
      </c>
      <c r="N89" s="7">
        <v>170000</v>
      </c>
      <c r="O89" s="7"/>
    </row>
    <row r="90" spans="1:15" ht="12" customHeight="1">
      <c r="A90" s="5" t="s">
        <v>132</v>
      </c>
      <c r="B90" s="5" t="s">
        <v>65</v>
      </c>
      <c r="C90" s="6" t="s">
        <v>66</v>
      </c>
      <c r="D90" s="7"/>
      <c r="E90" s="7">
        <v>20000</v>
      </c>
      <c r="F90" s="7">
        <v>16486</v>
      </c>
      <c r="G90" s="102">
        <f t="shared" si="29"/>
        <v>0.82430000000000003</v>
      </c>
      <c r="H90" s="7">
        <v>22827</v>
      </c>
      <c r="I90" s="102">
        <f t="shared" si="39"/>
        <v>1.1413500000000001</v>
      </c>
      <c r="J90" s="102">
        <f t="shared" si="40"/>
        <v>1.1413500000000001</v>
      </c>
      <c r="K90" s="7">
        <f t="shared" si="41"/>
        <v>20000</v>
      </c>
      <c r="L90" s="7"/>
      <c r="M90" s="7"/>
      <c r="N90" s="7"/>
      <c r="O90" s="7"/>
    </row>
    <row r="91" spans="1:15" ht="12" customHeight="1">
      <c r="A91" s="127" t="s">
        <v>132</v>
      </c>
      <c r="B91" s="5" t="s">
        <v>80</v>
      </c>
      <c r="C91" s="6" t="s">
        <v>81</v>
      </c>
      <c r="D91" s="7"/>
      <c r="E91" s="7">
        <v>9000</v>
      </c>
      <c r="F91" s="7">
        <v>4824.3</v>
      </c>
      <c r="G91" s="102">
        <f t="shared" si="29"/>
        <v>0.53603333333333336</v>
      </c>
      <c r="H91" s="7">
        <v>5514.3</v>
      </c>
      <c r="I91" s="102">
        <f t="shared" si="39"/>
        <v>0.61270000000000002</v>
      </c>
      <c r="J91" s="102">
        <f t="shared" si="40"/>
        <v>0.61270000000000002</v>
      </c>
      <c r="K91" s="7">
        <f t="shared" si="41"/>
        <v>9000</v>
      </c>
      <c r="L91" s="7"/>
      <c r="M91" s="7"/>
      <c r="N91" s="7"/>
      <c r="O91" s="7"/>
    </row>
    <row r="92" spans="1:15" ht="12" customHeight="1">
      <c r="A92" s="5" t="s">
        <v>132</v>
      </c>
      <c r="B92" s="5" t="s">
        <v>103</v>
      </c>
      <c r="C92" s="6" t="s">
        <v>104</v>
      </c>
      <c r="D92" s="7"/>
      <c r="E92" s="7">
        <v>3000</v>
      </c>
      <c r="F92" s="7">
        <v>1217</v>
      </c>
      <c r="G92" s="102">
        <f t="shared" si="29"/>
        <v>0.40566666666666668</v>
      </c>
      <c r="H92" s="7">
        <v>1217</v>
      </c>
      <c r="I92" s="102">
        <f t="shared" si="39"/>
        <v>0.40566666666666668</v>
      </c>
      <c r="J92" s="102">
        <f t="shared" si="40"/>
        <v>0.40566666666666668</v>
      </c>
      <c r="K92" s="7">
        <f t="shared" si="41"/>
        <v>3000</v>
      </c>
      <c r="L92" s="7"/>
      <c r="M92" s="7"/>
      <c r="N92" s="7"/>
      <c r="O92" s="7"/>
    </row>
    <row r="93" spans="1:15" ht="12" customHeight="1">
      <c r="A93" s="5" t="s">
        <v>132</v>
      </c>
      <c r="B93" s="5" t="s">
        <v>63</v>
      </c>
      <c r="C93" s="6" t="s">
        <v>64</v>
      </c>
      <c r="D93" s="7"/>
      <c r="E93" s="7">
        <v>4100</v>
      </c>
      <c r="F93" s="7">
        <v>4279</v>
      </c>
      <c r="G93" s="102">
        <f t="shared" si="29"/>
        <v>1.0436585365853659</v>
      </c>
      <c r="H93" s="7">
        <v>4279</v>
      </c>
      <c r="I93" s="102">
        <f t="shared" si="39"/>
        <v>1.0436585365853659</v>
      </c>
      <c r="J93" s="102">
        <f t="shared" si="40"/>
        <v>1.0436585365853659</v>
      </c>
      <c r="K93" s="7">
        <f t="shared" si="41"/>
        <v>4100</v>
      </c>
      <c r="L93" s="7"/>
      <c r="M93" s="7"/>
      <c r="N93" s="7"/>
      <c r="O93" s="7"/>
    </row>
    <row r="94" spans="1:15" ht="12" customHeight="1">
      <c r="A94" s="5">
        <v>5512</v>
      </c>
      <c r="B94" s="5">
        <v>5222</v>
      </c>
      <c r="C94" s="6" t="s">
        <v>242</v>
      </c>
      <c r="D94" s="7"/>
      <c r="E94" s="7">
        <v>8000</v>
      </c>
      <c r="F94" s="7">
        <v>8000</v>
      </c>
      <c r="G94" s="102">
        <f t="shared" si="29"/>
        <v>1</v>
      </c>
      <c r="H94" s="7">
        <v>8000</v>
      </c>
      <c r="I94" s="102">
        <f t="shared" si="39"/>
        <v>1</v>
      </c>
      <c r="J94" s="102">
        <f t="shared" si="40"/>
        <v>1</v>
      </c>
      <c r="K94" s="7">
        <f t="shared" si="41"/>
        <v>8000</v>
      </c>
      <c r="L94" s="7"/>
      <c r="M94" s="7"/>
      <c r="N94" s="7"/>
      <c r="O94" s="7"/>
    </row>
    <row r="95" spans="1:15" ht="12" customHeight="1">
      <c r="A95" s="8" t="s">
        <v>132</v>
      </c>
      <c r="B95" s="8" t="s">
        <v>2</v>
      </c>
      <c r="C95" s="9" t="s">
        <v>133</v>
      </c>
      <c r="D95" s="10">
        <f>SUM(D89:D93)</f>
        <v>173000</v>
      </c>
      <c r="E95" s="10">
        <f>SUM(E89:E94)</f>
        <v>173000</v>
      </c>
      <c r="F95" s="10">
        <f>SUM(F89:F94)</f>
        <v>42006.3</v>
      </c>
      <c r="G95" s="103">
        <f t="shared" si="29"/>
        <v>0.24281098265895956</v>
      </c>
      <c r="H95" s="10">
        <f>SUM(H89:H94)</f>
        <v>52794.3</v>
      </c>
      <c r="I95" s="103">
        <f t="shared" si="39"/>
        <v>0.30516936416184975</v>
      </c>
      <c r="J95" s="103">
        <f t="shared" si="40"/>
        <v>0.30516936416184975</v>
      </c>
      <c r="K95" s="10">
        <f>SUM(K89:K94)</f>
        <v>173000</v>
      </c>
      <c r="L95" s="10">
        <f>SUM(L89:L94)</f>
        <v>180000</v>
      </c>
      <c r="M95" s="10">
        <f t="shared" ref="M95:N95" si="57">SUM(M89:M94)</f>
        <v>170000</v>
      </c>
      <c r="N95" s="10">
        <f t="shared" si="57"/>
        <v>170000</v>
      </c>
      <c r="O95" s="10"/>
    </row>
    <row r="96" spans="1:15" ht="12" customHeight="1">
      <c r="A96" s="5" t="s">
        <v>134</v>
      </c>
      <c r="B96" s="5" t="s">
        <v>135</v>
      </c>
      <c r="C96" s="6" t="s">
        <v>136</v>
      </c>
      <c r="D96" s="7">
        <v>900000</v>
      </c>
      <c r="E96" s="7">
        <v>900000</v>
      </c>
      <c r="F96" s="7">
        <v>662959</v>
      </c>
      <c r="G96" s="102">
        <f t="shared" si="29"/>
        <v>0.73662111111111106</v>
      </c>
      <c r="H96" s="7">
        <v>736514</v>
      </c>
      <c r="I96" s="102">
        <f t="shared" si="39"/>
        <v>0.8183488888888889</v>
      </c>
      <c r="J96" s="102">
        <f t="shared" si="40"/>
        <v>0.736514</v>
      </c>
      <c r="K96" s="7">
        <v>1000000</v>
      </c>
      <c r="L96" s="7">
        <v>1000000</v>
      </c>
      <c r="M96" s="7">
        <v>1000000</v>
      </c>
      <c r="N96" s="7">
        <v>1000000</v>
      </c>
      <c r="O96" s="7"/>
    </row>
    <row r="97" spans="1:16" ht="12" customHeight="1">
      <c r="A97" s="8" t="s">
        <v>134</v>
      </c>
      <c r="B97" s="8" t="s">
        <v>2</v>
      </c>
      <c r="C97" s="9" t="s">
        <v>137</v>
      </c>
      <c r="D97" s="10">
        <f t="shared" ref="D97:E97" si="58">SUM(D96)</f>
        <v>900000</v>
      </c>
      <c r="E97" s="10">
        <f t="shared" si="58"/>
        <v>900000</v>
      </c>
      <c r="F97" s="10">
        <f t="shared" ref="F97:H97" si="59">SUM(F96)</f>
        <v>662959</v>
      </c>
      <c r="G97" s="103">
        <f t="shared" si="29"/>
        <v>0.73662111111111106</v>
      </c>
      <c r="H97" s="10">
        <f t="shared" si="59"/>
        <v>736514</v>
      </c>
      <c r="I97" s="103">
        <f t="shared" si="39"/>
        <v>0.8183488888888889</v>
      </c>
      <c r="J97" s="103">
        <f t="shared" si="40"/>
        <v>0.736514</v>
      </c>
      <c r="K97" s="10">
        <f>K96</f>
        <v>1000000</v>
      </c>
      <c r="L97" s="10">
        <f>L96</f>
        <v>1000000</v>
      </c>
      <c r="M97" s="10">
        <f t="shared" ref="M97:N97" si="60">M96</f>
        <v>1000000</v>
      </c>
      <c r="N97" s="10">
        <f t="shared" si="60"/>
        <v>1000000</v>
      </c>
      <c r="O97" s="10"/>
    </row>
    <row r="98" spans="1:16" ht="12" customHeight="1">
      <c r="A98" s="127" t="s">
        <v>138</v>
      </c>
      <c r="B98" s="127" t="s">
        <v>94</v>
      </c>
      <c r="C98" s="114" t="s">
        <v>95</v>
      </c>
      <c r="D98" s="131">
        <v>50000</v>
      </c>
      <c r="E98" s="131">
        <v>0</v>
      </c>
      <c r="F98" s="131">
        <v>0</v>
      </c>
      <c r="G98" s="128" t="str">
        <f t="shared" si="29"/>
        <v>-</v>
      </c>
      <c r="H98" s="131">
        <v>11800</v>
      </c>
      <c r="I98" s="128" t="str">
        <f t="shared" si="39"/>
        <v>-</v>
      </c>
      <c r="J98" s="128">
        <f t="shared" si="40"/>
        <v>1</v>
      </c>
      <c r="K98" s="131">
        <v>11800</v>
      </c>
      <c r="L98" s="131">
        <v>50000</v>
      </c>
      <c r="M98" s="131">
        <v>50000</v>
      </c>
      <c r="N98" s="131">
        <v>0</v>
      </c>
      <c r="O98" s="7" t="s">
        <v>275</v>
      </c>
    </row>
    <row r="99" spans="1:16" ht="12" customHeight="1">
      <c r="A99" s="8" t="s">
        <v>138</v>
      </c>
      <c r="B99" s="8" t="s">
        <v>2</v>
      </c>
      <c r="C99" s="9" t="s">
        <v>139</v>
      </c>
      <c r="D99" s="10">
        <f>SUM(D98:D98)</f>
        <v>50000</v>
      </c>
      <c r="E99" s="10">
        <f>SUM(E98:E98)</f>
        <v>0</v>
      </c>
      <c r="F99" s="10">
        <f>SUM(F98:F98)</f>
        <v>0</v>
      </c>
      <c r="G99" s="103" t="str">
        <f t="shared" si="29"/>
        <v>-</v>
      </c>
      <c r="H99" s="10">
        <f>SUM(H98:H98)</f>
        <v>11800</v>
      </c>
      <c r="I99" s="103" t="str">
        <f t="shared" si="39"/>
        <v>-</v>
      </c>
      <c r="J99" s="103">
        <f t="shared" si="40"/>
        <v>1</v>
      </c>
      <c r="K99" s="10">
        <f>K98</f>
        <v>11800</v>
      </c>
      <c r="L99" s="10">
        <f>L98</f>
        <v>50000</v>
      </c>
      <c r="M99" s="10">
        <f t="shared" ref="M99:N99" si="61">M98</f>
        <v>50000</v>
      </c>
      <c r="N99" s="10">
        <f t="shared" si="61"/>
        <v>0</v>
      </c>
      <c r="O99" s="10"/>
    </row>
    <row r="100" spans="1:16" ht="16.2" customHeight="1">
      <c r="A100" s="5">
        <v>6117</v>
      </c>
      <c r="B100" s="5">
        <v>5021</v>
      </c>
      <c r="C100" s="6" t="s">
        <v>95</v>
      </c>
      <c r="D100" s="7">
        <v>0</v>
      </c>
      <c r="E100" s="7">
        <v>19801.96</v>
      </c>
      <c r="F100" s="7">
        <v>19801.96</v>
      </c>
      <c r="G100" s="102">
        <f t="shared" si="29"/>
        <v>1</v>
      </c>
      <c r="H100" s="7">
        <v>19801.96</v>
      </c>
      <c r="I100" s="102">
        <f t="shared" si="39"/>
        <v>1</v>
      </c>
      <c r="J100" s="102">
        <f t="shared" si="40"/>
        <v>1</v>
      </c>
      <c r="K100" s="7">
        <f t="shared" si="41"/>
        <v>19801.96</v>
      </c>
      <c r="L100" s="7">
        <v>0</v>
      </c>
      <c r="M100" s="7">
        <v>0</v>
      </c>
      <c r="N100" s="7">
        <v>0</v>
      </c>
      <c r="O100" s="7"/>
    </row>
    <row r="101" spans="1:16" ht="16.2" customHeight="1">
      <c r="A101" s="5">
        <v>6117</v>
      </c>
      <c r="B101" s="5">
        <v>5139</v>
      </c>
      <c r="C101" s="6" t="s">
        <v>66</v>
      </c>
      <c r="D101" s="7">
        <v>0</v>
      </c>
      <c r="E101" s="7">
        <v>7568.04</v>
      </c>
      <c r="F101" s="7">
        <v>1505</v>
      </c>
      <c r="G101" s="102">
        <f t="shared" si="29"/>
        <v>0.19886258529288958</v>
      </c>
      <c r="H101" s="7">
        <v>1505</v>
      </c>
      <c r="I101" s="102">
        <f t="shared" si="39"/>
        <v>0.19886258529288958</v>
      </c>
      <c r="J101" s="102">
        <f t="shared" si="40"/>
        <v>0.19886258529288958</v>
      </c>
      <c r="K101" s="7">
        <f t="shared" si="41"/>
        <v>7568.04</v>
      </c>
      <c r="L101" s="7">
        <v>0</v>
      </c>
      <c r="M101" s="7">
        <v>0</v>
      </c>
      <c r="N101" s="7">
        <v>0</v>
      </c>
      <c r="O101" s="7"/>
    </row>
    <row r="102" spans="1:16" ht="16.2" customHeight="1">
      <c r="A102" s="5">
        <v>6117</v>
      </c>
      <c r="B102" s="5">
        <v>5169</v>
      </c>
      <c r="C102" s="6" t="s">
        <v>64</v>
      </c>
      <c r="D102" s="7">
        <v>0</v>
      </c>
      <c r="E102" s="7">
        <v>2765</v>
      </c>
      <c r="F102" s="7">
        <v>2765</v>
      </c>
      <c r="G102" s="102">
        <f t="shared" si="29"/>
        <v>1</v>
      </c>
      <c r="H102" s="7">
        <v>2765</v>
      </c>
      <c r="I102" s="102">
        <f t="shared" si="39"/>
        <v>1</v>
      </c>
      <c r="J102" s="102">
        <f t="shared" si="40"/>
        <v>1</v>
      </c>
      <c r="K102" s="7">
        <f t="shared" si="41"/>
        <v>2765</v>
      </c>
      <c r="L102" s="7">
        <v>0</v>
      </c>
      <c r="M102" s="7">
        <v>0</v>
      </c>
      <c r="N102" s="7">
        <v>0</v>
      </c>
      <c r="O102" s="7"/>
    </row>
    <row r="103" spans="1:16" ht="16.2" customHeight="1">
      <c r="A103" s="5">
        <v>6117</v>
      </c>
      <c r="B103" s="5">
        <v>5175</v>
      </c>
      <c r="C103" s="6" t="s">
        <v>97</v>
      </c>
      <c r="D103" s="7">
        <v>0</v>
      </c>
      <c r="E103" s="7">
        <v>1865</v>
      </c>
      <c r="F103" s="7">
        <v>1865</v>
      </c>
      <c r="G103" s="102">
        <f t="shared" si="29"/>
        <v>1</v>
      </c>
      <c r="H103" s="7">
        <v>1865</v>
      </c>
      <c r="I103" s="102">
        <f t="shared" si="39"/>
        <v>1</v>
      </c>
      <c r="J103" s="102">
        <f t="shared" si="40"/>
        <v>1</v>
      </c>
      <c r="K103" s="7">
        <f t="shared" si="41"/>
        <v>1865</v>
      </c>
      <c r="L103" s="7">
        <v>0</v>
      </c>
      <c r="M103" s="7">
        <v>0</v>
      </c>
      <c r="N103" s="7">
        <v>0</v>
      </c>
      <c r="O103" s="7"/>
    </row>
    <row r="104" spans="1:16" ht="12" customHeight="1">
      <c r="A104" s="8">
        <v>6117</v>
      </c>
      <c r="B104" s="8" t="s">
        <v>2</v>
      </c>
      <c r="C104" s="9" t="s">
        <v>295</v>
      </c>
      <c r="D104" s="10">
        <f>SUM(D100:D103)</f>
        <v>0</v>
      </c>
      <c r="E104" s="10">
        <f t="shared" ref="E104:F104" si="62">SUM(E100:E103)</f>
        <v>32000</v>
      </c>
      <c r="F104" s="10">
        <f t="shared" si="62"/>
        <v>25936.959999999999</v>
      </c>
      <c r="G104" s="103">
        <f t="shared" si="29"/>
        <v>0.81052999999999997</v>
      </c>
      <c r="H104" s="10">
        <f t="shared" ref="H104" si="63">SUM(H100:H103)</f>
        <v>25936.959999999999</v>
      </c>
      <c r="I104" s="103">
        <f t="shared" si="39"/>
        <v>0.81052999999999997</v>
      </c>
      <c r="J104" s="103">
        <f t="shared" si="40"/>
        <v>0.81052999999999997</v>
      </c>
      <c r="K104" s="10">
        <f t="shared" si="41"/>
        <v>32000</v>
      </c>
      <c r="L104" s="10">
        <f>SUM(L100:L103)</f>
        <v>0</v>
      </c>
      <c r="M104" s="10">
        <f t="shared" ref="M104:N104" si="64">SUM(M100:M103)</f>
        <v>0</v>
      </c>
      <c r="N104" s="10">
        <f t="shared" si="64"/>
        <v>0</v>
      </c>
      <c r="O104" s="10"/>
    </row>
    <row r="105" spans="1:16" ht="16.2" customHeight="1">
      <c r="A105" s="127" t="s">
        <v>13</v>
      </c>
      <c r="B105" s="127" t="s">
        <v>116</v>
      </c>
      <c r="C105" s="114" t="s">
        <v>117</v>
      </c>
      <c r="D105" s="132">
        <v>450000</v>
      </c>
      <c r="E105" s="132">
        <v>395000</v>
      </c>
      <c r="F105" s="132">
        <v>356960</v>
      </c>
      <c r="G105" s="128">
        <f t="shared" si="29"/>
        <v>0.90369620253164562</v>
      </c>
      <c r="H105" s="132">
        <v>395280</v>
      </c>
      <c r="I105" s="128">
        <f t="shared" si="39"/>
        <v>1.0007088607594936</v>
      </c>
      <c r="J105" s="128">
        <f t="shared" si="40"/>
        <v>0.7388411214953271</v>
      </c>
      <c r="K105" s="132">
        <f>E105+140000</f>
        <v>535000</v>
      </c>
      <c r="L105" s="132">
        <v>535000</v>
      </c>
      <c r="M105" s="132">
        <v>545000</v>
      </c>
      <c r="N105" s="132">
        <v>550000</v>
      </c>
      <c r="O105" s="7">
        <f>F105/8*12</f>
        <v>535440</v>
      </c>
      <c r="P105" s="49"/>
    </row>
    <row r="106" spans="1:16" ht="12" customHeight="1">
      <c r="A106" s="127" t="s">
        <v>13</v>
      </c>
      <c r="B106" s="127" t="s">
        <v>94</v>
      </c>
      <c r="C106" s="114" t="s">
        <v>95</v>
      </c>
      <c r="D106" s="132">
        <v>25000</v>
      </c>
      <c r="E106" s="132">
        <v>151000</v>
      </c>
      <c r="F106" s="132">
        <v>152954</v>
      </c>
      <c r="G106" s="128">
        <f t="shared" ref="G106:G129" si="65">IFERROR(F106/E106,"-")</f>
        <v>1.0129403973509934</v>
      </c>
      <c r="H106" s="132">
        <v>172365</v>
      </c>
      <c r="I106" s="128">
        <f t="shared" si="39"/>
        <v>1.1414900662251655</v>
      </c>
      <c r="J106" s="128">
        <f t="shared" si="40"/>
        <v>0.97934659090909093</v>
      </c>
      <c r="K106" s="132">
        <v>176000</v>
      </c>
      <c r="L106" s="132">
        <v>100000</v>
      </c>
      <c r="M106" s="132">
        <v>100000</v>
      </c>
      <c r="N106" s="132">
        <v>100000</v>
      </c>
      <c r="O106" s="7" t="s">
        <v>276</v>
      </c>
    </row>
    <row r="107" spans="1:16" ht="12" customHeight="1">
      <c r="A107" s="127">
        <v>6171</v>
      </c>
      <c r="B107" s="127"/>
      <c r="C107" s="114" t="s">
        <v>136</v>
      </c>
      <c r="D107" s="132">
        <v>0</v>
      </c>
      <c r="E107" s="132">
        <v>3000</v>
      </c>
      <c r="F107" s="132">
        <v>2705</v>
      </c>
      <c r="G107" s="128">
        <f t="shared" si="65"/>
        <v>0.90166666666666662</v>
      </c>
      <c r="H107" s="132">
        <v>3246</v>
      </c>
      <c r="I107" s="128">
        <f t="shared" si="39"/>
        <v>1.0820000000000001</v>
      </c>
      <c r="J107" s="128">
        <f t="shared" si="40"/>
        <v>0.8115</v>
      </c>
      <c r="K107" s="132">
        <v>4000</v>
      </c>
      <c r="L107" s="132">
        <v>0</v>
      </c>
      <c r="M107" s="132">
        <v>0</v>
      </c>
      <c r="N107" s="132">
        <v>0</v>
      </c>
      <c r="O107" s="7"/>
    </row>
    <row r="108" spans="1:16" ht="16.2" customHeight="1">
      <c r="A108" s="5" t="s">
        <v>13</v>
      </c>
      <c r="B108" s="5" t="s">
        <v>140</v>
      </c>
      <c r="C108" s="6" t="s">
        <v>141</v>
      </c>
      <c r="D108" s="99">
        <v>340000</v>
      </c>
      <c r="E108" s="99">
        <v>331000</v>
      </c>
      <c r="F108" s="99">
        <v>231003.32</v>
      </c>
      <c r="G108" s="102">
        <f t="shared" si="65"/>
        <v>0.6978952265861027</v>
      </c>
      <c r="H108" s="99">
        <v>258611.32</v>
      </c>
      <c r="I108" s="102">
        <f t="shared" si="39"/>
        <v>0.78130308157099704</v>
      </c>
      <c r="J108" s="102">
        <f t="shared" si="40"/>
        <v>0.78130308157099704</v>
      </c>
      <c r="K108" s="99">
        <f t="shared" si="41"/>
        <v>331000</v>
      </c>
      <c r="L108" s="99">
        <v>330000</v>
      </c>
      <c r="M108" s="99">
        <v>340000</v>
      </c>
      <c r="N108" s="99">
        <v>345000</v>
      </c>
      <c r="O108" s="7"/>
    </row>
    <row r="109" spans="1:16" ht="12" customHeight="1">
      <c r="A109" s="127" t="s">
        <v>13</v>
      </c>
      <c r="B109" s="127" t="s">
        <v>142</v>
      </c>
      <c r="C109" s="114" t="s">
        <v>143</v>
      </c>
      <c r="D109" s="132">
        <v>215000</v>
      </c>
      <c r="E109" s="132">
        <v>185000</v>
      </c>
      <c r="F109" s="132">
        <v>155976.88</v>
      </c>
      <c r="G109" s="128">
        <f t="shared" si="65"/>
        <v>0.84311827027027031</v>
      </c>
      <c r="H109" s="132">
        <v>172663.88</v>
      </c>
      <c r="I109" s="128">
        <f t="shared" si="39"/>
        <v>0.93331827027027026</v>
      </c>
      <c r="J109" s="128">
        <f t="shared" si="40"/>
        <v>0.73473991489361701</v>
      </c>
      <c r="K109" s="132">
        <f>E109+50000</f>
        <v>235000</v>
      </c>
      <c r="L109" s="132">
        <v>235000</v>
      </c>
      <c r="M109" s="132">
        <v>240000</v>
      </c>
      <c r="N109" s="132">
        <v>242000</v>
      </c>
      <c r="O109" s="7"/>
    </row>
    <row r="110" spans="1:16" ht="16.2" customHeight="1">
      <c r="A110" s="5" t="s">
        <v>13</v>
      </c>
      <c r="B110" s="5" t="s">
        <v>144</v>
      </c>
      <c r="C110" s="6" t="s">
        <v>145</v>
      </c>
      <c r="D110" s="7">
        <v>5000</v>
      </c>
      <c r="E110" s="7">
        <v>5000</v>
      </c>
      <c r="F110" s="7">
        <v>4338.84</v>
      </c>
      <c r="G110" s="102">
        <f t="shared" si="65"/>
        <v>0.86776799999999998</v>
      </c>
      <c r="H110" s="7">
        <v>5838.84</v>
      </c>
      <c r="I110" s="102">
        <f t="shared" si="39"/>
        <v>1.1677680000000001</v>
      </c>
      <c r="J110" s="102">
        <f t="shared" si="40"/>
        <v>0.72985500000000003</v>
      </c>
      <c r="K110" s="7">
        <v>8000</v>
      </c>
      <c r="L110" s="7">
        <v>10000</v>
      </c>
      <c r="M110" s="7">
        <v>10000</v>
      </c>
      <c r="N110" s="7">
        <v>10000</v>
      </c>
      <c r="O110" s="7" t="s">
        <v>277</v>
      </c>
    </row>
    <row r="111" spans="1:16" ht="12" customHeight="1">
      <c r="A111" s="127" t="s">
        <v>13</v>
      </c>
      <c r="B111" s="127" t="s">
        <v>91</v>
      </c>
      <c r="C111" s="114" t="s">
        <v>92</v>
      </c>
      <c r="D111" s="131">
        <v>20000</v>
      </c>
      <c r="E111" s="131">
        <v>20000</v>
      </c>
      <c r="F111" s="131">
        <v>18686</v>
      </c>
      <c r="G111" s="102">
        <f t="shared" si="65"/>
        <v>0.93430000000000002</v>
      </c>
      <c r="H111" s="131">
        <v>18686</v>
      </c>
      <c r="I111" s="102">
        <f t="shared" si="39"/>
        <v>0.93430000000000002</v>
      </c>
      <c r="J111" s="102">
        <f t="shared" si="40"/>
        <v>0.93430000000000002</v>
      </c>
      <c r="K111" s="131">
        <f t="shared" si="41"/>
        <v>20000</v>
      </c>
      <c r="L111" s="131">
        <v>20000</v>
      </c>
      <c r="M111" s="131">
        <v>20000</v>
      </c>
      <c r="N111" s="131">
        <v>20000</v>
      </c>
      <c r="O111" s="7" t="s">
        <v>278</v>
      </c>
    </row>
    <row r="112" spans="1:16" ht="12" customHeight="1">
      <c r="A112" s="127" t="s">
        <v>13</v>
      </c>
      <c r="B112" s="127" t="s">
        <v>65</v>
      </c>
      <c r="C112" s="114" t="s">
        <v>66</v>
      </c>
      <c r="D112" s="131">
        <v>75000</v>
      </c>
      <c r="E112" s="131">
        <v>75000</v>
      </c>
      <c r="F112" s="131">
        <v>38458.800000000003</v>
      </c>
      <c r="G112" s="102">
        <f t="shared" si="65"/>
        <v>0.51278400000000002</v>
      </c>
      <c r="H112" s="131">
        <v>60576.800000000003</v>
      </c>
      <c r="I112" s="102">
        <f t="shared" si="39"/>
        <v>0.80769066666666667</v>
      </c>
      <c r="J112" s="102">
        <f t="shared" si="40"/>
        <v>0.80769066666666667</v>
      </c>
      <c r="K112" s="131">
        <f t="shared" si="41"/>
        <v>75000</v>
      </c>
      <c r="L112" s="131">
        <v>75000</v>
      </c>
      <c r="M112" s="131">
        <v>75000</v>
      </c>
      <c r="N112" s="131">
        <v>75000</v>
      </c>
      <c r="O112" s="7" t="s">
        <v>279</v>
      </c>
    </row>
    <row r="113" spans="1:17" ht="12" customHeight="1">
      <c r="A113" s="5" t="s">
        <v>13</v>
      </c>
      <c r="B113" s="5" t="s">
        <v>118</v>
      </c>
      <c r="C113" s="6" t="s">
        <v>119</v>
      </c>
      <c r="D113" s="7">
        <v>150000</v>
      </c>
      <c r="E113" s="7">
        <v>118000</v>
      </c>
      <c r="F113" s="7">
        <v>78414.740000000005</v>
      </c>
      <c r="G113" s="102">
        <f t="shared" si="65"/>
        <v>0.66453169491525432</v>
      </c>
      <c r="H113" s="7">
        <v>97359.39</v>
      </c>
      <c r="I113" s="102">
        <f t="shared" si="39"/>
        <v>0.82507957627118644</v>
      </c>
      <c r="J113" s="102">
        <f t="shared" si="40"/>
        <v>0.82507957627118644</v>
      </c>
      <c r="K113" s="7">
        <f t="shared" si="41"/>
        <v>118000</v>
      </c>
      <c r="L113" s="7">
        <v>120000</v>
      </c>
      <c r="M113" s="7">
        <v>120000</v>
      </c>
      <c r="N113" s="7">
        <v>120000</v>
      </c>
      <c r="O113" s="7" t="s">
        <v>280</v>
      </c>
    </row>
    <row r="114" spans="1:17" ht="12" customHeight="1">
      <c r="A114" s="127" t="s">
        <v>13</v>
      </c>
      <c r="B114" s="5" t="s">
        <v>80</v>
      </c>
      <c r="C114" s="6" t="s">
        <v>81</v>
      </c>
      <c r="D114" s="7">
        <v>7000</v>
      </c>
      <c r="E114" s="7">
        <v>7000</v>
      </c>
      <c r="F114" s="7">
        <v>4347.29</v>
      </c>
      <c r="G114" s="102">
        <f t="shared" si="65"/>
        <v>0.62104142857142852</v>
      </c>
      <c r="H114" s="7">
        <v>5027.29</v>
      </c>
      <c r="I114" s="102">
        <f t="shared" si="39"/>
        <v>0.71818428571428572</v>
      </c>
      <c r="J114" s="102">
        <f t="shared" si="40"/>
        <v>0.71818428571428572</v>
      </c>
      <c r="K114" s="7">
        <f t="shared" si="41"/>
        <v>7000</v>
      </c>
      <c r="L114" s="7">
        <v>7000</v>
      </c>
      <c r="M114" s="7">
        <v>7000</v>
      </c>
      <c r="N114" s="7">
        <v>7000</v>
      </c>
      <c r="O114" s="7" t="s">
        <v>281</v>
      </c>
    </row>
    <row r="115" spans="1:17" ht="12" customHeight="1">
      <c r="A115" s="5" t="s">
        <v>13</v>
      </c>
      <c r="B115" s="5" t="s">
        <v>146</v>
      </c>
      <c r="C115" s="6" t="s">
        <v>147</v>
      </c>
      <c r="D115" s="7">
        <v>10000</v>
      </c>
      <c r="E115" s="7">
        <v>10000</v>
      </c>
      <c r="F115" s="7">
        <v>7238.8</v>
      </c>
      <c r="G115" s="102">
        <f t="shared" si="65"/>
        <v>0.72387999999999997</v>
      </c>
      <c r="H115" s="7">
        <v>8410.7999999999993</v>
      </c>
      <c r="I115" s="102">
        <f t="shared" si="39"/>
        <v>0.84107999999999994</v>
      </c>
      <c r="J115" s="102">
        <f t="shared" si="40"/>
        <v>0.84107999999999994</v>
      </c>
      <c r="K115" s="7">
        <f t="shared" si="41"/>
        <v>10000</v>
      </c>
      <c r="L115" s="7">
        <v>10000</v>
      </c>
      <c r="M115" s="7">
        <v>10000</v>
      </c>
      <c r="N115" s="7">
        <v>10000</v>
      </c>
      <c r="O115" s="7" t="s">
        <v>282</v>
      </c>
    </row>
    <row r="116" spans="1:17" ht="12" customHeight="1">
      <c r="A116" s="5" t="s">
        <v>13</v>
      </c>
      <c r="B116" s="5" t="s">
        <v>82</v>
      </c>
      <c r="C116" s="6" t="s">
        <v>83</v>
      </c>
      <c r="D116" s="7">
        <v>20000</v>
      </c>
      <c r="E116" s="7">
        <v>20000</v>
      </c>
      <c r="F116" s="7">
        <v>11026.66</v>
      </c>
      <c r="G116" s="102">
        <f t="shared" si="65"/>
        <v>0.55133299999999996</v>
      </c>
      <c r="H116" s="7">
        <v>14586.81</v>
      </c>
      <c r="I116" s="102">
        <f t="shared" si="39"/>
        <v>0.72934049999999995</v>
      </c>
      <c r="J116" s="102">
        <f t="shared" si="40"/>
        <v>0.72934049999999995</v>
      </c>
      <c r="K116" s="7">
        <f t="shared" si="41"/>
        <v>20000</v>
      </c>
      <c r="L116" s="7">
        <v>20000</v>
      </c>
      <c r="M116" s="7">
        <v>20000</v>
      </c>
      <c r="N116" s="7">
        <v>20000</v>
      </c>
      <c r="O116" s="7" t="s">
        <v>283</v>
      </c>
    </row>
    <row r="117" spans="1:17" ht="12" customHeight="1">
      <c r="A117" s="127" t="s">
        <v>13</v>
      </c>
      <c r="B117" s="127" t="s">
        <v>61</v>
      </c>
      <c r="C117" s="114" t="s">
        <v>62</v>
      </c>
      <c r="D117" s="131">
        <v>53000</v>
      </c>
      <c r="E117" s="131">
        <v>28000</v>
      </c>
      <c r="F117" s="131">
        <v>191</v>
      </c>
      <c r="G117" s="102">
        <f t="shared" si="65"/>
        <v>6.8214285714285712E-3</v>
      </c>
      <c r="H117" s="131">
        <v>191</v>
      </c>
      <c r="I117" s="102">
        <f t="shared" si="39"/>
        <v>6.8214285714285712E-3</v>
      </c>
      <c r="J117" s="102">
        <f t="shared" si="40"/>
        <v>6.8214285714285712E-3</v>
      </c>
      <c r="K117" s="131">
        <f t="shared" si="41"/>
        <v>28000</v>
      </c>
      <c r="L117" s="131">
        <v>50000</v>
      </c>
      <c r="M117" s="131">
        <v>50000</v>
      </c>
      <c r="N117" s="131">
        <v>50000</v>
      </c>
      <c r="O117" s="7" t="s">
        <v>284</v>
      </c>
    </row>
    <row r="118" spans="1:17" ht="12" customHeight="1">
      <c r="A118" s="127" t="s">
        <v>13</v>
      </c>
      <c r="B118" s="127" t="s">
        <v>63</v>
      </c>
      <c r="C118" s="114" t="s">
        <v>64</v>
      </c>
      <c r="D118" s="133">
        <v>450000</v>
      </c>
      <c r="E118" s="133">
        <v>470000</v>
      </c>
      <c r="F118" s="133">
        <v>469884.07</v>
      </c>
      <c r="G118" s="105">
        <f t="shared" si="65"/>
        <v>0.99975334042553188</v>
      </c>
      <c r="H118" s="133">
        <v>532533.28</v>
      </c>
      <c r="I118" s="105">
        <f t="shared" si="39"/>
        <v>1.1330495319148937</v>
      </c>
      <c r="J118" s="105">
        <f t="shared" si="40"/>
        <v>0.85892464516129041</v>
      </c>
      <c r="K118" s="133">
        <f>E118+150000</f>
        <v>620000</v>
      </c>
      <c r="L118" s="133">
        <v>600000</v>
      </c>
      <c r="M118" s="133">
        <v>600000</v>
      </c>
      <c r="N118" s="133">
        <v>600000</v>
      </c>
      <c r="O118" s="7" t="s">
        <v>285</v>
      </c>
      <c r="Q118" s="49"/>
    </row>
    <row r="119" spans="1:17" ht="12" customHeight="1">
      <c r="A119" s="5" t="s">
        <v>13</v>
      </c>
      <c r="B119" s="5" t="s">
        <v>96</v>
      </c>
      <c r="C119" s="6" t="s">
        <v>97</v>
      </c>
      <c r="D119" s="7">
        <v>10000</v>
      </c>
      <c r="E119" s="7">
        <v>10000</v>
      </c>
      <c r="F119" s="7">
        <v>5045</v>
      </c>
      <c r="G119" s="102">
        <f t="shared" si="65"/>
        <v>0.50449999999999995</v>
      </c>
      <c r="H119" s="7">
        <v>7068</v>
      </c>
      <c r="I119" s="102">
        <f t="shared" si="39"/>
        <v>0.70679999999999998</v>
      </c>
      <c r="J119" s="102">
        <f t="shared" si="40"/>
        <v>0.70679999999999998</v>
      </c>
      <c r="K119" s="7">
        <f t="shared" si="41"/>
        <v>10000</v>
      </c>
      <c r="L119" s="7">
        <v>10000</v>
      </c>
      <c r="M119" s="7">
        <v>10000</v>
      </c>
      <c r="N119" s="7">
        <v>10000</v>
      </c>
      <c r="O119" s="7"/>
    </row>
    <row r="120" spans="1:17" ht="12" customHeight="1">
      <c r="A120" s="5" t="s">
        <v>13</v>
      </c>
      <c r="B120" s="5" t="s">
        <v>107</v>
      </c>
      <c r="C120" s="6" t="s">
        <v>108</v>
      </c>
      <c r="D120" s="7">
        <v>10000</v>
      </c>
      <c r="E120" s="7">
        <v>15000</v>
      </c>
      <c r="F120" s="7">
        <v>15000</v>
      </c>
      <c r="G120" s="102">
        <f t="shared" si="65"/>
        <v>1</v>
      </c>
      <c r="H120" s="7">
        <v>70000</v>
      </c>
      <c r="I120" s="102">
        <f t="shared" si="39"/>
        <v>4.666666666666667</v>
      </c>
      <c r="J120" s="102">
        <f t="shared" si="40"/>
        <v>1</v>
      </c>
      <c r="K120" s="7">
        <v>70000</v>
      </c>
      <c r="L120" s="7">
        <v>50000</v>
      </c>
      <c r="M120" s="7">
        <v>50000</v>
      </c>
      <c r="N120" s="7">
        <v>50000</v>
      </c>
      <c r="O120" s="7" t="s">
        <v>458</v>
      </c>
    </row>
    <row r="121" spans="1:17" ht="12" customHeight="1">
      <c r="A121" s="5" t="s">
        <v>13</v>
      </c>
      <c r="B121" s="5" t="s">
        <v>148</v>
      </c>
      <c r="C121" s="6" t="s">
        <v>149</v>
      </c>
      <c r="D121" s="7">
        <v>10000</v>
      </c>
      <c r="E121" s="7">
        <v>10000</v>
      </c>
      <c r="F121" s="7">
        <v>6000</v>
      </c>
      <c r="G121" s="102">
        <f t="shared" si="65"/>
        <v>0.6</v>
      </c>
      <c r="H121" s="7">
        <v>6000</v>
      </c>
      <c r="I121" s="102">
        <f t="shared" si="39"/>
        <v>0.6</v>
      </c>
      <c r="J121" s="102">
        <f t="shared" si="40"/>
        <v>0.6</v>
      </c>
      <c r="K121" s="7">
        <f t="shared" si="41"/>
        <v>10000</v>
      </c>
      <c r="L121" s="7">
        <v>10000</v>
      </c>
      <c r="M121" s="7">
        <v>10000</v>
      </c>
      <c r="N121" s="7">
        <v>10000</v>
      </c>
      <c r="O121" s="7" t="s">
        <v>286</v>
      </c>
    </row>
    <row r="122" spans="1:17" ht="16.2" customHeight="1">
      <c r="A122" s="5">
        <v>6171</v>
      </c>
      <c r="B122" s="5">
        <v>6122</v>
      </c>
      <c r="C122" s="6" t="s">
        <v>121</v>
      </c>
      <c r="D122" s="7">
        <v>0</v>
      </c>
      <c r="E122" s="7">
        <v>100000</v>
      </c>
      <c r="F122" s="7">
        <v>99099</v>
      </c>
      <c r="G122" s="102">
        <f t="shared" si="65"/>
        <v>0.99099000000000004</v>
      </c>
      <c r="H122" s="7">
        <v>99099</v>
      </c>
      <c r="I122" s="102">
        <f t="shared" si="39"/>
        <v>0.99099000000000004</v>
      </c>
      <c r="J122" s="102">
        <f t="shared" si="40"/>
        <v>0.99099000000000004</v>
      </c>
      <c r="K122" s="7">
        <f t="shared" si="41"/>
        <v>100000</v>
      </c>
      <c r="L122" s="7">
        <v>0</v>
      </c>
      <c r="M122" s="7">
        <v>0</v>
      </c>
      <c r="N122" s="7">
        <v>0</v>
      </c>
      <c r="O122" s="7" t="s">
        <v>287</v>
      </c>
    </row>
    <row r="123" spans="1:17" ht="12" customHeight="1">
      <c r="A123" s="8" t="s">
        <v>13</v>
      </c>
      <c r="B123" s="8" t="s">
        <v>2</v>
      </c>
      <c r="C123" s="9" t="s">
        <v>12</v>
      </c>
      <c r="D123" s="10">
        <f>SUM(D105:D122)</f>
        <v>1850000</v>
      </c>
      <c r="E123" s="10">
        <f>SUM(E105:E122)</f>
        <v>1953000</v>
      </c>
      <c r="F123" s="10">
        <f>SUM(F105:F122)</f>
        <v>1657329.4000000001</v>
      </c>
      <c r="G123" s="103">
        <f t="shared" si="65"/>
        <v>0.84860696364567334</v>
      </c>
      <c r="H123" s="10">
        <f>SUM(H105:H122)</f>
        <v>1927543.4100000001</v>
      </c>
      <c r="I123" s="103">
        <f t="shared" si="39"/>
        <v>0.98696539170506925</v>
      </c>
      <c r="J123" s="103">
        <f t="shared" si="40"/>
        <v>0.81091435002103496</v>
      </c>
      <c r="K123" s="10">
        <f>SUM(K105:K122)</f>
        <v>2377000</v>
      </c>
      <c r="L123" s="10">
        <f>SUM(L105:L122)</f>
        <v>2182000</v>
      </c>
      <c r="M123" s="10">
        <f t="shared" ref="M123:N123" si="66">SUM(M105:M122)</f>
        <v>2207000</v>
      </c>
      <c r="N123" s="10">
        <f t="shared" si="66"/>
        <v>2219000</v>
      </c>
      <c r="O123" s="10"/>
    </row>
    <row r="124" spans="1:17" ht="12" customHeight="1">
      <c r="A124" s="5" t="s">
        <v>6</v>
      </c>
      <c r="B124" s="5" t="s">
        <v>61</v>
      </c>
      <c r="C124" s="6" t="s">
        <v>62</v>
      </c>
      <c r="D124" s="7">
        <v>6000</v>
      </c>
      <c r="E124" s="7">
        <v>6000</v>
      </c>
      <c r="F124" s="7">
        <v>3888.6</v>
      </c>
      <c r="G124" s="102">
        <f t="shared" si="65"/>
        <v>0.64810000000000001</v>
      </c>
      <c r="H124" s="7">
        <v>4794</v>
      </c>
      <c r="I124" s="102">
        <f t="shared" si="39"/>
        <v>0.79900000000000004</v>
      </c>
      <c r="J124" s="102">
        <f t="shared" si="40"/>
        <v>0.79900000000000004</v>
      </c>
      <c r="K124" s="7">
        <f t="shared" si="41"/>
        <v>6000</v>
      </c>
      <c r="L124" s="7">
        <v>6000</v>
      </c>
      <c r="M124" s="7">
        <v>6000</v>
      </c>
      <c r="N124" s="7">
        <v>6000</v>
      </c>
      <c r="O124" s="7">
        <v>6000</v>
      </c>
    </row>
    <row r="125" spans="1:17" ht="12" customHeight="1">
      <c r="A125" s="8" t="s">
        <v>6</v>
      </c>
      <c r="B125" s="8" t="s">
        <v>2</v>
      </c>
      <c r="C125" s="9" t="s">
        <v>5</v>
      </c>
      <c r="D125" s="10">
        <f t="shared" ref="D125" si="67">SUM(D124)</f>
        <v>6000</v>
      </c>
      <c r="E125" s="10">
        <f t="shared" ref="E125" si="68">SUM(E124)</f>
        <v>6000</v>
      </c>
      <c r="F125" s="10">
        <f t="shared" ref="F125:H125" si="69">SUM(F124)</f>
        <v>3888.6</v>
      </c>
      <c r="G125" s="103">
        <f t="shared" si="65"/>
        <v>0.64810000000000001</v>
      </c>
      <c r="H125" s="10">
        <f t="shared" si="69"/>
        <v>4794</v>
      </c>
      <c r="I125" s="103">
        <f t="shared" si="39"/>
        <v>0.79900000000000004</v>
      </c>
      <c r="J125" s="103">
        <f t="shared" si="40"/>
        <v>0.79900000000000004</v>
      </c>
      <c r="K125" s="10">
        <f t="shared" si="41"/>
        <v>6000</v>
      </c>
      <c r="L125" s="10">
        <f>L124</f>
        <v>6000</v>
      </c>
      <c r="M125" s="10">
        <f t="shared" ref="M125:N125" si="70">M124</f>
        <v>6000</v>
      </c>
      <c r="N125" s="10">
        <f t="shared" si="70"/>
        <v>6000</v>
      </c>
      <c r="O125" s="10"/>
    </row>
    <row r="126" spans="1:17" ht="12" customHeight="1">
      <c r="A126" s="5" t="s">
        <v>3</v>
      </c>
      <c r="B126" s="5" t="s">
        <v>150</v>
      </c>
      <c r="C126" s="6" t="s">
        <v>151</v>
      </c>
      <c r="D126" s="7">
        <v>0</v>
      </c>
      <c r="E126" s="7">
        <v>0</v>
      </c>
      <c r="F126" s="7">
        <v>0</v>
      </c>
      <c r="G126" s="102" t="str">
        <f t="shared" si="65"/>
        <v>-</v>
      </c>
      <c r="H126" s="7">
        <v>1500000</v>
      </c>
      <c r="I126" s="102" t="str">
        <f t="shared" si="39"/>
        <v>-</v>
      </c>
      <c r="J126" s="102" t="str">
        <f t="shared" si="40"/>
        <v>-</v>
      </c>
      <c r="K126" s="7">
        <f t="shared" si="41"/>
        <v>0</v>
      </c>
      <c r="L126" s="7">
        <f t="shared" si="41"/>
        <v>0</v>
      </c>
      <c r="M126" s="7" t="str">
        <f t="shared" ref="M126" si="71">G126</f>
        <v>-</v>
      </c>
      <c r="N126" s="7">
        <v>0</v>
      </c>
      <c r="O126" s="7"/>
    </row>
    <row r="127" spans="1:17" ht="12" customHeight="1">
      <c r="A127" s="5" t="s">
        <v>3</v>
      </c>
      <c r="B127" s="5" t="s">
        <v>152</v>
      </c>
      <c r="C127" s="6" t="s">
        <v>153</v>
      </c>
      <c r="D127" s="7">
        <v>0</v>
      </c>
      <c r="E127" s="7">
        <v>0</v>
      </c>
      <c r="F127" s="7">
        <v>115000</v>
      </c>
      <c r="G127" s="102" t="str">
        <f t="shared" si="65"/>
        <v>-</v>
      </c>
      <c r="H127" s="7">
        <v>75000</v>
      </c>
      <c r="I127" s="102" t="str">
        <f t="shared" si="39"/>
        <v>-</v>
      </c>
      <c r="J127" s="102" t="str">
        <f t="shared" si="40"/>
        <v>-</v>
      </c>
      <c r="K127" s="7">
        <f t="shared" si="41"/>
        <v>0</v>
      </c>
      <c r="L127" s="7">
        <v>0</v>
      </c>
      <c r="M127" s="7">
        <v>0</v>
      </c>
      <c r="N127" s="7">
        <v>0</v>
      </c>
      <c r="O127" s="7"/>
    </row>
    <row r="128" spans="1:17" ht="12" customHeight="1">
      <c r="A128" s="8" t="s">
        <v>3</v>
      </c>
      <c r="B128" s="8" t="s">
        <v>2</v>
      </c>
      <c r="C128" s="9" t="s">
        <v>1</v>
      </c>
      <c r="D128" s="10">
        <f t="shared" ref="D128" si="72">SUM(D126:D127)</f>
        <v>0</v>
      </c>
      <c r="E128" s="10">
        <f t="shared" ref="E128" si="73">SUM(E126:E127)</f>
        <v>0</v>
      </c>
      <c r="F128" s="10">
        <f>SUM(F126:F127)</f>
        <v>115000</v>
      </c>
      <c r="G128" s="103" t="str">
        <f t="shared" si="65"/>
        <v>-</v>
      </c>
      <c r="H128" s="10">
        <f>SUM(H126:H127)</f>
        <v>1575000</v>
      </c>
      <c r="I128" s="103" t="str">
        <f t="shared" si="39"/>
        <v>-</v>
      </c>
      <c r="J128" s="103" t="str">
        <f t="shared" si="40"/>
        <v>-</v>
      </c>
      <c r="K128" s="10">
        <f t="shared" si="41"/>
        <v>0</v>
      </c>
      <c r="L128" s="10">
        <v>0</v>
      </c>
      <c r="M128" s="10">
        <v>0</v>
      </c>
      <c r="N128" s="10">
        <v>0</v>
      </c>
      <c r="O128" s="10"/>
    </row>
    <row r="129" spans="1:15" ht="16.2" customHeight="1">
      <c r="A129" s="4" t="s">
        <v>0</v>
      </c>
      <c r="B129" s="4"/>
      <c r="C129" s="4"/>
      <c r="D129" s="11">
        <f>D5+D9+D11+D13+D22+D24+D30+D42+D44+D46+D48+D54+D58+D60+D62+D72+D74+D76+D78+D83+D85+D88+D95+D97+D99+D123++D125+D128++D28+D104</f>
        <v>18393100</v>
      </c>
      <c r="E129" s="11">
        <f>E5+E9+E11+E13+E22+E24+E30+E42+E44+E46+E48+E54+E58+E60+E62+E72+E74+E76+E78+E83+E85+E88+E95+E97+E99+E123++E125+E128++E28+E104</f>
        <v>18393100</v>
      </c>
      <c r="F129" s="11">
        <f>F5+F9+F11+F13+F22+F24+F30+F42+F44+F46+F48+F54+F58+F60+F62+F72+F74+F76+F78+F83+F85+F88+F95+F97+F99+F123++F125+F128++F28+F104</f>
        <v>11248742.680000003</v>
      </c>
      <c r="G129" s="106">
        <f t="shared" si="65"/>
        <v>0.61157405113874241</v>
      </c>
      <c r="H129" s="11">
        <f>H5+H9+H11+H13+H22+H24+H30+H42+H44+H46+H48+H54+H58+H60+H62+H72+H74+H76+H78+H83+H85+H88+H95+H97+H99+H123++H125+H128++H28+H104</f>
        <v>14362009.490000002</v>
      </c>
      <c r="I129" s="106">
        <f t="shared" si="39"/>
        <v>0.78083680782467346</v>
      </c>
      <c r="J129" s="106">
        <f t="shared" si="40"/>
        <v>0.74093612590024571</v>
      </c>
      <c r="K129" s="11">
        <f>K5+K9+K11+K13+K22+K24+K30+K42+K44+K46+K48+K54+K58+K60+K62+K72+K74+K76+K78+K83+K85+K88+K95+K97+K99+K123++K125+K128++K28+K104</f>
        <v>19383600</v>
      </c>
      <c r="L129" s="11">
        <f>L5+L9+L11+L13+L22+L24+L30+L42+L44+L46+L48+L54+L58+L60+L62+L72+L74+L76+L78+L83+L85+L88+L95+L97+L99+L123++L125+L128++L28+L104</f>
        <v>19048000</v>
      </c>
      <c r="M129" s="11">
        <f t="shared" ref="M129:N129" si="74">M5+M9+M11+M13+M22+M24+M30+M42+M44+M46+M48+M54+M58+M60+M62+M72+M74+M76+M78+M83+M85+M88+M95+M97+M99+M123++M125+M128++M28+M104</f>
        <v>20428000</v>
      </c>
      <c r="N129" s="11">
        <f t="shared" si="74"/>
        <v>15608000</v>
      </c>
      <c r="O129" s="11"/>
    </row>
    <row r="130" spans="1:15">
      <c r="L130" s="49"/>
      <c r="M130" s="49"/>
      <c r="N130" s="49"/>
    </row>
    <row r="131" spans="1:15">
      <c r="D131" s="49"/>
      <c r="E131" s="49"/>
      <c r="F131" s="49"/>
      <c r="H131" s="49"/>
      <c r="K131" s="49"/>
      <c r="L131" s="49"/>
      <c r="M131" s="49"/>
      <c r="N131" s="49"/>
    </row>
    <row r="132" spans="1:15">
      <c r="B132" s="2"/>
      <c r="D132" s="49"/>
      <c r="E132" s="49"/>
      <c r="F132" s="49"/>
      <c r="H132" s="49"/>
      <c r="K132" s="49"/>
      <c r="L132" s="49"/>
      <c r="M132" s="49"/>
      <c r="N132" s="49"/>
      <c r="O132" s="3"/>
    </row>
    <row r="133" spans="1:15">
      <c r="B133" s="2"/>
      <c r="D133" s="49"/>
      <c r="E133" s="49"/>
      <c r="F133" s="49"/>
      <c r="H133" s="49"/>
      <c r="K133" s="49"/>
      <c r="L133" s="49"/>
      <c r="M133" s="49"/>
      <c r="N133" s="49"/>
      <c r="O133" s="3"/>
    </row>
    <row r="134" spans="1:15">
      <c r="B134" s="2"/>
      <c r="D134" s="112"/>
      <c r="E134" s="112"/>
      <c r="F134" s="112"/>
      <c r="G134" s="108"/>
      <c r="H134" s="112"/>
      <c r="I134" s="108"/>
      <c r="J134" s="108"/>
      <c r="K134" s="112"/>
      <c r="L134" s="112"/>
      <c r="M134" s="112"/>
      <c r="N134" s="112"/>
      <c r="O134" s="3"/>
    </row>
    <row r="135" spans="1:15">
      <c r="B135" s="2"/>
      <c r="D135" s="48"/>
      <c r="E135" s="48"/>
      <c r="F135" s="48"/>
      <c r="G135" s="108"/>
      <c r="H135" s="48"/>
      <c r="I135" s="108"/>
      <c r="J135" s="108"/>
      <c r="K135" s="48"/>
      <c r="L135" s="48"/>
      <c r="M135" s="48"/>
      <c r="N135" s="48"/>
      <c r="O135" s="3"/>
    </row>
    <row r="136" spans="1:15">
      <c r="D136" s="48"/>
      <c r="E136" s="48"/>
      <c r="F136" s="48"/>
      <c r="G136" s="108"/>
      <c r="H136" s="48"/>
      <c r="I136" s="108"/>
      <c r="J136" s="108"/>
      <c r="K136" s="48"/>
      <c r="L136" s="48"/>
      <c r="M136" s="48"/>
      <c r="N136" s="48"/>
      <c r="O136" s="3"/>
    </row>
    <row r="137" spans="1:15">
      <c r="B137" s="2"/>
      <c r="D137" s="48"/>
      <c r="E137" s="48"/>
      <c r="F137" s="48"/>
      <c r="G137" s="108"/>
      <c r="H137" s="48"/>
      <c r="I137" s="108"/>
      <c r="J137" s="108"/>
      <c r="K137" s="48"/>
      <c r="L137" s="48"/>
      <c r="M137" s="48"/>
      <c r="N137" s="48"/>
      <c r="O137" s="3"/>
    </row>
    <row r="138" spans="1:15">
      <c r="B138" s="2"/>
      <c r="D138" s="48"/>
      <c r="E138" s="48"/>
      <c r="F138" s="48"/>
      <c r="G138" s="108"/>
      <c r="H138" s="48"/>
      <c r="I138" s="108"/>
      <c r="J138" s="108"/>
      <c r="K138" s="48"/>
      <c r="L138" s="48"/>
      <c r="M138" s="48"/>
      <c r="N138" s="48"/>
      <c r="O138" s="48"/>
    </row>
    <row r="139" spans="1:15">
      <c r="B139" s="2"/>
      <c r="D139" s="48"/>
      <c r="E139" s="48"/>
      <c r="F139" s="48"/>
      <c r="G139" s="108"/>
      <c r="H139" s="48"/>
      <c r="I139" s="108"/>
      <c r="J139" s="108"/>
      <c r="K139" s="48"/>
      <c r="L139" s="48"/>
      <c r="M139" s="48"/>
      <c r="N139" s="48"/>
      <c r="O139" s="48"/>
    </row>
    <row r="140" spans="1:15">
      <c r="B140" s="2"/>
      <c r="D140" s="48"/>
      <c r="E140" s="48"/>
      <c r="F140" s="48"/>
      <c r="G140" s="108"/>
      <c r="H140" s="48"/>
      <c r="I140" s="108"/>
      <c r="J140" s="108"/>
      <c r="K140" s="48"/>
      <c r="L140" s="48"/>
      <c r="M140" s="48"/>
      <c r="N140" s="48"/>
      <c r="O140" s="48"/>
    </row>
    <row r="141" spans="1:15">
      <c r="B141" s="2"/>
      <c r="D141" s="48"/>
      <c r="E141" s="48"/>
      <c r="F141" s="48"/>
      <c r="G141" s="108"/>
      <c r="H141" s="48"/>
      <c r="I141" s="108"/>
      <c r="J141" s="108"/>
      <c r="K141" s="48"/>
      <c r="L141" s="48"/>
      <c r="M141" s="48"/>
      <c r="N141" s="48"/>
      <c r="O141" s="48"/>
    </row>
  </sheetData>
  <autoFilter ref="A2:K129" xr:uid="{00000000-0009-0000-0000-000005000000}"/>
  <pageMargins left="0" right="0" top="0" bottom="0" header="0" footer="0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79FCE0-6C0E-494D-9D89-6B7475CB6813}">
  <dimension ref="A1:V145"/>
  <sheetViews>
    <sheetView showGridLines="0" topLeftCell="A76" zoomScale="80" zoomScaleNormal="80" workbookViewId="0">
      <selection activeCell="H104" sqref="H104"/>
    </sheetView>
  </sheetViews>
  <sheetFormatPr defaultRowHeight="14.4"/>
  <cols>
    <col min="1" max="1" width="21.5546875" customWidth="1"/>
    <col min="2" max="2" width="25.109375" customWidth="1"/>
    <col min="3" max="3" width="19" customWidth="1"/>
    <col min="4" max="4" width="16.88671875" customWidth="1"/>
    <col min="5" max="5" width="23.109375" customWidth="1"/>
    <col min="6" max="6" width="9.109375" customWidth="1"/>
    <col min="7" max="7" width="32" customWidth="1"/>
    <col min="8" max="8" width="15" customWidth="1"/>
  </cols>
  <sheetData>
    <row r="1" spans="1:5">
      <c r="A1" s="26" t="s">
        <v>230</v>
      </c>
      <c r="B1" s="26"/>
    </row>
    <row r="2" spans="1:5">
      <c r="A2" s="26"/>
      <c r="B2" s="26"/>
    </row>
    <row r="3" spans="1:5">
      <c r="B3" s="42" t="s">
        <v>228</v>
      </c>
      <c r="C3" s="42" t="s">
        <v>229</v>
      </c>
    </row>
    <row r="4" spans="1:5">
      <c r="A4" t="s">
        <v>226</v>
      </c>
      <c r="B4">
        <v>61</v>
      </c>
      <c r="C4">
        <v>25</v>
      </c>
      <c r="D4" s="134">
        <f>C4/B4</f>
        <v>0.4098360655737705</v>
      </c>
    </row>
    <row r="5" spans="1:5">
      <c r="A5" t="s">
        <v>227</v>
      </c>
      <c r="B5">
        <v>35</v>
      </c>
      <c r="C5">
        <v>18</v>
      </c>
      <c r="D5" s="134">
        <f>C5/B5</f>
        <v>0.51428571428571423</v>
      </c>
    </row>
    <row r="6" spans="1:5">
      <c r="A6" s="26"/>
      <c r="B6">
        <f>SUM(B4:B5)</f>
        <v>96</v>
      </c>
      <c r="C6" s="26">
        <f>SUM(C4:C5)</f>
        <v>43</v>
      </c>
      <c r="D6" s="135">
        <f>C6/B6</f>
        <v>0.44791666666666669</v>
      </c>
    </row>
    <row r="8" spans="1:5">
      <c r="B8" s="32" t="s">
        <v>203</v>
      </c>
      <c r="C8" s="31">
        <v>2023</v>
      </c>
      <c r="D8" s="31" t="s">
        <v>167</v>
      </c>
      <c r="E8" s="31"/>
    </row>
    <row r="9" spans="1:5">
      <c r="B9" s="27" t="s">
        <v>191</v>
      </c>
      <c r="C9" s="28">
        <v>15000</v>
      </c>
      <c r="D9" s="27" t="s">
        <v>192</v>
      </c>
      <c r="E9" s="27"/>
    </row>
    <row r="10" spans="1:5">
      <c r="B10" s="27" t="s">
        <v>189</v>
      </c>
      <c r="C10" s="28">
        <v>2000</v>
      </c>
      <c r="D10" s="27"/>
      <c r="E10" s="27"/>
    </row>
    <row r="11" spans="1:5">
      <c r="B11" s="27" t="s">
        <v>190</v>
      </c>
      <c r="C11" s="28">
        <v>13000</v>
      </c>
      <c r="D11" s="27"/>
      <c r="E11" s="27"/>
    </row>
    <row r="12" spans="1:5">
      <c r="B12" s="29" t="s">
        <v>193</v>
      </c>
      <c r="C12" s="30">
        <f>SUM(C9:C11)</f>
        <v>30000</v>
      </c>
      <c r="D12" s="27"/>
      <c r="E12" s="27"/>
    </row>
    <row r="13" spans="1:5">
      <c r="B13" s="33" t="s">
        <v>204</v>
      </c>
    </row>
    <row r="14" spans="1:5">
      <c r="B14" s="33" t="s">
        <v>214</v>
      </c>
    </row>
    <row r="15" spans="1:5">
      <c r="B15" s="33"/>
    </row>
    <row r="17" spans="2:5">
      <c r="B17" s="32" t="s">
        <v>216</v>
      </c>
      <c r="C17" s="31">
        <v>2023</v>
      </c>
      <c r="D17" s="31" t="s">
        <v>218</v>
      </c>
      <c r="E17" s="31" t="s">
        <v>219</v>
      </c>
    </row>
    <row r="18" spans="2:5">
      <c r="B18" s="27" t="s">
        <v>205</v>
      </c>
      <c r="C18" s="39">
        <v>40000</v>
      </c>
      <c r="D18" s="27" t="s">
        <v>207</v>
      </c>
      <c r="E18" s="27"/>
    </row>
    <row r="19" spans="2:5">
      <c r="B19" s="27" t="s">
        <v>206</v>
      </c>
      <c r="C19" s="39">
        <v>15000</v>
      </c>
      <c r="D19" s="27"/>
      <c r="E19" s="27"/>
    </row>
    <row r="20" spans="2:5">
      <c r="B20" s="27" t="s">
        <v>208</v>
      </c>
      <c r="C20" s="39">
        <v>13000</v>
      </c>
      <c r="D20" s="27" t="s">
        <v>209</v>
      </c>
      <c r="E20" s="27"/>
    </row>
    <row r="21" spans="2:5">
      <c r="B21" s="29" t="s">
        <v>193</v>
      </c>
      <c r="C21" s="40">
        <f>SUM(C18:C20)</f>
        <v>68000</v>
      </c>
      <c r="D21" s="27"/>
      <c r="E21" s="27" t="s">
        <v>220</v>
      </c>
    </row>
    <row r="22" spans="2:5">
      <c r="B22" s="27" t="s">
        <v>194</v>
      </c>
      <c r="C22" s="34">
        <v>20000</v>
      </c>
      <c r="D22" s="27" t="s">
        <v>195</v>
      </c>
      <c r="E22" s="27"/>
    </row>
    <row r="23" spans="2:5">
      <c r="B23" s="27" t="s">
        <v>196</v>
      </c>
      <c r="C23" s="34">
        <v>20000</v>
      </c>
      <c r="D23" s="27" t="s">
        <v>197</v>
      </c>
      <c r="E23" s="27"/>
    </row>
    <row r="24" spans="2:5">
      <c r="B24" s="27" t="s">
        <v>198</v>
      </c>
      <c r="C24" s="34">
        <v>50000</v>
      </c>
      <c r="D24" s="27" t="s">
        <v>199</v>
      </c>
      <c r="E24" s="27"/>
    </row>
    <row r="25" spans="2:5">
      <c r="B25" s="27" t="s">
        <v>200</v>
      </c>
      <c r="C25" s="34">
        <v>15000</v>
      </c>
      <c r="D25" s="27" t="s">
        <v>201</v>
      </c>
      <c r="E25" s="27"/>
    </row>
    <row r="26" spans="2:5">
      <c r="B26" s="29" t="s">
        <v>202</v>
      </c>
      <c r="C26" s="38">
        <f>SUM(C22:C25)</f>
        <v>105000</v>
      </c>
      <c r="D26" s="27"/>
      <c r="E26" s="27" t="s">
        <v>221</v>
      </c>
    </row>
    <row r="27" spans="2:5" ht="14.7" customHeight="1">
      <c r="B27" s="35" t="s">
        <v>210</v>
      </c>
      <c r="C27" s="41">
        <v>30000</v>
      </c>
      <c r="D27" s="311" t="s">
        <v>215</v>
      </c>
      <c r="E27" s="311" t="s">
        <v>222</v>
      </c>
    </row>
    <row r="28" spans="2:5" ht="31.2" customHeight="1">
      <c r="B28" s="36"/>
      <c r="C28" s="37"/>
      <c r="D28" s="311"/>
      <c r="E28" s="311"/>
    </row>
    <row r="29" spans="2:5">
      <c r="B29" s="27" t="s">
        <v>212</v>
      </c>
      <c r="C29" s="39">
        <v>50000</v>
      </c>
      <c r="D29" s="27" t="s">
        <v>211</v>
      </c>
      <c r="E29" s="27" t="s">
        <v>223</v>
      </c>
    </row>
    <row r="30" spans="2:5">
      <c r="B30" s="29" t="s">
        <v>213</v>
      </c>
      <c r="C30" s="38">
        <f>C27+C29</f>
        <v>80000</v>
      </c>
      <c r="D30" s="130"/>
      <c r="E30" s="130"/>
    </row>
    <row r="31" spans="2:5">
      <c r="B31" s="29" t="s">
        <v>217</v>
      </c>
      <c r="C31" s="38">
        <f>C21+C26+C30</f>
        <v>253000</v>
      </c>
      <c r="D31" s="130"/>
      <c r="E31" s="130"/>
    </row>
    <row r="32" spans="2:5">
      <c r="B32" s="26"/>
      <c r="C32" s="136"/>
      <c r="D32" s="137"/>
      <c r="E32" s="137"/>
    </row>
    <row r="33" spans="1:22">
      <c r="B33" s="26"/>
      <c r="C33" s="136"/>
      <c r="D33" s="137"/>
      <c r="E33" s="137"/>
    </row>
    <row r="34" spans="1:22">
      <c r="A34" t="s">
        <v>301</v>
      </c>
    </row>
    <row r="36" spans="1:22">
      <c r="B36" s="32" t="s">
        <v>224</v>
      </c>
      <c r="C36" s="31">
        <v>2023</v>
      </c>
      <c r="D36" s="31">
        <v>2023</v>
      </c>
      <c r="G36" s="138"/>
      <c r="H36" s="138"/>
      <c r="I36" s="139" t="s">
        <v>302</v>
      </c>
      <c r="J36" s="138"/>
      <c r="K36" s="138"/>
      <c r="L36" s="138"/>
      <c r="M36" s="138"/>
      <c r="N36" s="138"/>
      <c r="O36" s="138"/>
      <c r="P36" s="138"/>
      <c r="Q36" s="138"/>
      <c r="R36" s="138"/>
      <c r="S36" s="138"/>
      <c r="T36" s="138"/>
      <c r="U36" s="138"/>
      <c r="V36" s="138"/>
    </row>
    <row r="37" spans="1:22">
      <c r="B37" s="27" t="s">
        <v>191</v>
      </c>
      <c r="C37" s="28">
        <v>15000</v>
      </c>
      <c r="D37" s="44">
        <v>15000</v>
      </c>
      <c r="E37" t="s">
        <v>231</v>
      </c>
      <c r="G37" s="138"/>
      <c r="H37" s="138" t="s">
        <v>303</v>
      </c>
      <c r="I37" s="138"/>
      <c r="J37" s="138"/>
      <c r="K37" s="138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38"/>
    </row>
    <row r="38" spans="1:22">
      <c r="B38" s="27" t="s">
        <v>189</v>
      </c>
      <c r="C38" s="28">
        <v>2000</v>
      </c>
      <c r="D38" s="44">
        <v>2000</v>
      </c>
      <c r="G38" s="138" t="s">
        <v>205</v>
      </c>
      <c r="H38" s="140">
        <v>20000</v>
      </c>
      <c r="I38" s="138" t="s">
        <v>207</v>
      </c>
      <c r="J38" s="138"/>
      <c r="K38" s="138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38"/>
    </row>
    <row r="39" spans="1:22">
      <c r="B39" s="29" t="s">
        <v>193</v>
      </c>
      <c r="C39" s="30">
        <f>SUM(C37:C38)</f>
        <v>17000</v>
      </c>
      <c r="D39" s="45">
        <f>SUM(D37:D38)</f>
        <v>17000</v>
      </c>
      <c r="G39" s="138" t="s">
        <v>206</v>
      </c>
      <c r="H39" s="140">
        <v>25000</v>
      </c>
      <c r="I39" s="138"/>
      <c r="J39" s="138"/>
      <c r="K39" s="138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38"/>
    </row>
    <row r="40" spans="1:22">
      <c r="B40" s="27" t="s">
        <v>194</v>
      </c>
      <c r="C40" s="34">
        <v>20000</v>
      </c>
      <c r="D40" s="46">
        <v>10000</v>
      </c>
      <c r="E40" t="s">
        <v>232</v>
      </c>
      <c r="G40" s="138" t="s">
        <v>194</v>
      </c>
      <c r="H40" s="141">
        <v>20000</v>
      </c>
      <c r="I40" s="138" t="s">
        <v>304</v>
      </c>
      <c r="J40" s="138"/>
      <c r="K40" s="138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38"/>
    </row>
    <row r="41" spans="1:22">
      <c r="B41" s="27" t="s">
        <v>196</v>
      </c>
      <c r="C41" s="34">
        <v>20000</v>
      </c>
      <c r="D41" s="46">
        <v>10000</v>
      </c>
      <c r="E41" t="s">
        <v>232</v>
      </c>
      <c r="G41" s="138" t="s">
        <v>196</v>
      </c>
      <c r="H41" s="141">
        <v>20000</v>
      </c>
      <c r="I41" s="138" t="s">
        <v>197</v>
      </c>
      <c r="J41" s="138"/>
      <c r="K41" s="138"/>
      <c r="L41" s="138"/>
      <c r="M41" s="138"/>
      <c r="N41" s="138"/>
      <c r="O41" s="138"/>
      <c r="P41" s="138"/>
      <c r="Q41" s="138"/>
      <c r="R41" s="138"/>
      <c r="S41" s="138"/>
      <c r="T41" s="138"/>
      <c r="U41" s="138"/>
      <c r="V41" s="138"/>
    </row>
    <row r="42" spans="1:22">
      <c r="B42" s="27" t="s">
        <v>198</v>
      </c>
      <c r="C42" s="34">
        <v>50000</v>
      </c>
      <c r="D42" s="46">
        <v>50000</v>
      </c>
      <c r="E42" t="s">
        <v>238</v>
      </c>
      <c r="G42" s="138" t="s">
        <v>305</v>
      </c>
      <c r="H42" s="141">
        <v>50000</v>
      </c>
      <c r="I42" s="138" t="s">
        <v>306</v>
      </c>
      <c r="J42" s="138"/>
      <c r="K42" s="138"/>
      <c r="L42" s="138"/>
      <c r="M42" s="138"/>
      <c r="N42" s="138"/>
      <c r="O42" s="138"/>
      <c r="P42" s="138"/>
      <c r="Q42" s="138"/>
      <c r="R42" s="138"/>
      <c r="S42" s="138"/>
      <c r="T42" s="138"/>
      <c r="U42" s="138"/>
      <c r="V42" s="138" t="s">
        <v>307</v>
      </c>
    </row>
    <row r="43" spans="1:22" ht="15" thickBot="1">
      <c r="B43" s="27" t="s">
        <v>200</v>
      </c>
      <c r="C43" s="34">
        <v>15000</v>
      </c>
      <c r="D43" s="46">
        <v>10000</v>
      </c>
      <c r="E43" t="s">
        <v>233</v>
      </c>
      <c r="G43" s="142" t="s">
        <v>200</v>
      </c>
      <c r="H43" s="143">
        <v>5000</v>
      </c>
      <c r="I43" s="138" t="s">
        <v>308</v>
      </c>
      <c r="J43" s="138"/>
      <c r="K43" s="138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38"/>
    </row>
    <row r="44" spans="1:22">
      <c r="B44" s="29" t="s">
        <v>202</v>
      </c>
      <c r="C44" s="38">
        <f>SUM(C40:C43)</f>
        <v>105000</v>
      </c>
      <c r="D44" s="47">
        <f>SUM(D40:D43)</f>
        <v>80000</v>
      </c>
      <c r="G44" s="138"/>
      <c r="H44" s="141">
        <v>140000</v>
      </c>
      <c r="I44" s="138"/>
      <c r="J44" s="138"/>
      <c r="K44" s="138"/>
      <c r="L44" s="138"/>
      <c r="M44" s="138"/>
      <c r="N44" s="138"/>
      <c r="O44" s="138"/>
      <c r="P44" s="138"/>
      <c r="Q44" s="138"/>
      <c r="R44" s="138"/>
      <c r="S44" s="138"/>
      <c r="T44" s="138"/>
      <c r="U44" s="138"/>
      <c r="V44" s="138"/>
    </row>
    <row r="45" spans="1:22">
      <c r="B45" s="29" t="s">
        <v>234</v>
      </c>
      <c r="C45" s="38">
        <v>30000</v>
      </c>
      <c r="D45" s="47">
        <v>30000</v>
      </c>
      <c r="E45" t="s">
        <v>236</v>
      </c>
    </row>
    <row r="46" spans="1:22" ht="15" thickBot="1">
      <c r="B46" s="29" t="s">
        <v>235</v>
      </c>
      <c r="C46" s="38"/>
      <c r="D46" s="47">
        <v>5000</v>
      </c>
      <c r="E46" t="s">
        <v>237</v>
      </c>
      <c r="G46" s="142" t="s">
        <v>210</v>
      </c>
      <c r="H46" s="143">
        <v>30000</v>
      </c>
      <c r="I46" s="138" t="s">
        <v>309</v>
      </c>
      <c r="J46" s="138"/>
      <c r="K46" s="138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38"/>
    </row>
    <row r="47" spans="1:22">
      <c r="B47" s="29" t="s">
        <v>225</v>
      </c>
      <c r="C47" s="38">
        <f>C39+C44+C45</f>
        <v>152000</v>
      </c>
      <c r="D47" s="47">
        <f>D39+D44+D45+D46</f>
        <v>132000</v>
      </c>
      <c r="G47" s="138"/>
      <c r="H47" s="141"/>
      <c r="I47" s="138" t="s">
        <v>310</v>
      </c>
      <c r="J47" s="138"/>
      <c r="K47" s="138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38"/>
    </row>
    <row r="48" spans="1:22">
      <c r="G48" s="138"/>
      <c r="H48" s="141"/>
      <c r="I48" s="138" t="s">
        <v>311</v>
      </c>
      <c r="J48" s="138"/>
      <c r="K48" s="138"/>
      <c r="L48" s="138"/>
      <c r="M48" s="138"/>
      <c r="N48" s="138"/>
      <c r="O48" s="138"/>
      <c r="P48" s="138"/>
      <c r="Q48" s="138"/>
      <c r="R48" s="138"/>
      <c r="S48" s="138"/>
      <c r="T48" s="138"/>
      <c r="U48" s="138"/>
      <c r="V48" s="138"/>
    </row>
    <row r="49" spans="4:22">
      <c r="D49" t="s">
        <v>312</v>
      </c>
      <c r="G49" s="138"/>
      <c r="H49" s="141"/>
      <c r="I49" s="138" t="s">
        <v>313</v>
      </c>
      <c r="J49" s="138"/>
      <c r="K49" s="138"/>
      <c r="L49" s="138"/>
      <c r="M49" s="138"/>
      <c r="N49" s="138"/>
      <c r="O49" s="138"/>
      <c r="P49" s="138"/>
      <c r="Q49" s="138"/>
      <c r="R49" s="138"/>
      <c r="S49" s="138"/>
      <c r="T49" s="138"/>
      <c r="U49" s="138"/>
      <c r="V49" s="138"/>
    </row>
    <row r="50" spans="4:22">
      <c r="D50" t="s">
        <v>314</v>
      </c>
      <c r="G50" s="138"/>
      <c r="H50" s="141"/>
      <c r="I50" s="138"/>
      <c r="J50" s="138"/>
      <c r="K50" s="138"/>
      <c r="L50" s="138"/>
      <c r="M50" s="138"/>
      <c r="N50" s="138"/>
      <c r="O50" s="138"/>
      <c r="P50" s="138"/>
      <c r="Q50" s="138"/>
      <c r="R50" s="138"/>
      <c r="S50" s="138"/>
      <c r="T50" s="138"/>
      <c r="U50" s="138"/>
      <c r="V50" s="138"/>
    </row>
    <row r="51" spans="4:22">
      <c r="G51" s="139" t="s">
        <v>315</v>
      </c>
      <c r="H51" s="144">
        <v>170000</v>
      </c>
      <c r="I51" s="138"/>
      <c r="J51" s="138"/>
      <c r="K51" s="138"/>
      <c r="L51" s="138"/>
      <c r="M51" s="138"/>
      <c r="N51" s="138"/>
      <c r="O51" s="138"/>
      <c r="P51" s="138"/>
      <c r="Q51" s="138"/>
      <c r="R51" s="138"/>
      <c r="S51" s="138"/>
      <c r="T51" s="138"/>
      <c r="U51" s="138"/>
      <c r="V51" s="138"/>
    </row>
    <row r="52" spans="4:22">
      <c r="G52" s="138"/>
      <c r="H52" s="141"/>
      <c r="I52" s="138"/>
    </row>
    <row r="53" spans="4:22">
      <c r="G53" s="138"/>
      <c r="H53" s="141"/>
      <c r="I53" s="138" t="s">
        <v>316</v>
      </c>
    </row>
    <row r="54" spans="4:22">
      <c r="E54" s="43"/>
      <c r="G54" s="138"/>
      <c r="H54" s="141"/>
      <c r="I54" s="138" t="s">
        <v>317</v>
      </c>
    </row>
    <row r="55" spans="4:22">
      <c r="G55" s="138"/>
      <c r="H55" s="141"/>
      <c r="I55" s="138" t="s">
        <v>318</v>
      </c>
    </row>
    <row r="58" spans="4:22">
      <c r="G58" s="32" t="s">
        <v>224</v>
      </c>
      <c r="H58" s="145" t="s">
        <v>319</v>
      </c>
    </row>
    <row r="59" spans="4:22">
      <c r="G59" s="27" t="s">
        <v>320</v>
      </c>
      <c r="H59" s="44">
        <v>17000</v>
      </c>
      <c r="I59" t="s">
        <v>321</v>
      </c>
    </row>
    <row r="60" spans="4:22">
      <c r="G60" s="27" t="s">
        <v>322</v>
      </c>
      <c r="H60" s="44">
        <v>20000</v>
      </c>
      <c r="I60" t="s">
        <v>323</v>
      </c>
    </row>
    <row r="61" spans="4:22">
      <c r="G61" s="27" t="s">
        <v>324</v>
      </c>
      <c r="H61" s="146">
        <v>20000</v>
      </c>
      <c r="I61" t="s">
        <v>323</v>
      </c>
    </row>
    <row r="62" spans="4:22">
      <c r="G62" s="27" t="s">
        <v>200</v>
      </c>
      <c r="H62" s="46">
        <v>5000</v>
      </c>
    </row>
    <row r="63" spans="4:22">
      <c r="G63" s="27" t="s">
        <v>210</v>
      </c>
      <c r="H63" s="46">
        <v>30000</v>
      </c>
    </row>
    <row r="64" spans="4:22">
      <c r="G64" s="29" t="s">
        <v>325</v>
      </c>
      <c r="H64" s="47">
        <f>SUM(H59:H63)</f>
        <v>92000</v>
      </c>
    </row>
    <row r="65" spans="1:8">
      <c r="G65" s="27" t="s">
        <v>326</v>
      </c>
      <c r="H65" s="46">
        <v>50000</v>
      </c>
    </row>
    <row r="66" spans="1:8">
      <c r="G66" s="29"/>
      <c r="H66" s="47">
        <f>H64+H65</f>
        <v>142000</v>
      </c>
    </row>
    <row r="67" spans="1:8">
      <c r="G67" s="29"/>
      <c r="H67" s="47"/>
    </row>
    <row r="68" spans="1:8">
      <c r="G68" s="29"/>
      <c r="H68" s="47"/>
    </row>
    <row r="69" spans="1:8">
      <c r="G69" s="29"/>
      <c r="H69" s="47"/>
    </row>
    <row r="76" spans="1:8">
      <c r="A76" t="s">
        <v>336</v>
      </c>
    </row>
    <row r="78" spans="1:8">
      <c r="A78" s="147"/>
      <c r="B78" s="147"/>
      <c r="C78" s="151" t="s">
        <v>327</v>
      </c>
    </row>
    <row r="79" spans="1:8">
      <c r="A79" s="147"/>
      <c r="B79" s="147" t="s">
        <v>303</v>
      </c>
      <c r="C79" s="147"/>
    </row>
    <row r="80" spans="1:8">
      <c r="A80" s="147" t="s">
        <v>205</v>
      </c>
      <c r="B80" s="148">
        <v>40000</v>
      </c>
      <c r="C80" s="147" t="s">
        <v>328</v>
      </c>
    </row>
    <row r="81" spans="1:3">
      <c r="A81" s="147" t="s">
        <v>206</v>
      </c>
      <c r="B81" s="148">
        <v>25000</v>
      </c>
      <c r="C81" s="147"/>
    </row>
    <row r="82" spans="1:3">
      <c r="A82" s="147" t="s">
        <v>194</v>
      </c>
      <c r="B82" s="148">
        <v>50000</v>
      </c>
      <c r="C82" s="147" t="s">
        <v>329</v>
      </c>
    </row>
    <row r="83" spans="1:3">
      <c r="A83" s="147" t="s">
        <v>196</v>
      </c>
      <c r="B83" s="148">
        <v>30000</v>
      </c>
      <c r="C83" s="147" t="s">
        <v>197</v>
      </c>
    </row>
    <row r="84" spans="1:3">
      <c r="A84" s="147" t="s">
        <v>208</v>
      </c>
      <c r="B84" s="148">
        <v>15000</v>
      </c>
      <c r="C84" s="147" t="s">
        <v>330</v>
      </c>
    </row>
    <row r="85" spans="1:3">
      <c r="A85" s="147" t="s">
        <v>331</v>
      </c>
      <c r="B85" s="148">
        <v>50000</v>
      </c>
      <c r="C85" s="147" t="s">
        <v>332</v>
      </c>
    </row>
    <row r="86" spans="1:3" ht="15" thickBot="1">
      <c r="A86" s="149" t="s">
        <v>200</v>
      </c>
      <c r="B86" s="150">
        <v>15000</v>
      </c>
      <c r="C86" s="147" t="s">
        <v>201</v>
      </c>
    </row>
    <row r="87" spans="1:3">
      <c r="A87" s="147"/>
      <c r="B87" s="148">
        <v>225000</v>
      </c>
      <c r="C87" s="147"/>
    </row>
    <row r="89" spans="1:3" ht="15" thickBot="1">
      <c r="A89" s="149" t="s">
        <v>210</v>
      </c>
      <c r="B89" s="150">
        <v>40000</v>
      </c>
      <c r="C89" s="147" t="s">
        <v>333</v>
      </c>
    </row>
    <row r="90" spans="1:3">
      <c r="A90" s="147"/>
      <c r="B90" s="148"/>
      <c r="C90" s="147" t="s">
        <v>310</v>
      </c>
    </row>
    <row r="91" spans="1:3">
      <c r="A91" s="147"/>
      <c r="B91" s="148"/>
      <c r="C91" s="147" t="s">
        <v>334</v>
      </c>
    </row>
    <row r="92" spans="1:3">
      <c r="A92" s="147"/>
      <c r="B92" s="148"/>
      <c r="C92" s="147" t="s">
        <v>335</v>
      </c>
    </row>
    <row r="93" spans="1:3">
      <c r="A93" s="147"/>
      <c r="B93" s="148"/>
      <c r="C93" s="147"/>
    </row>
    <row r="94" spans="1:3">
      <c r="A94" s="151"/>
      <c r="B94" s="152">
        <v>265000</v>
      </c>
    </row>
    <row r="101" spans="2:6">
      <c r="B101" s="32" t="s">
        <v>224</v>
      </c>
      <c r="C101" s="145" t="s">
        <v>338</v>
      </c>
      <c r="D101" s="145" t="s">
        <v>337</v>
      </c>
      <c r="E101" s="145" t="s">
        <v>341</v>
      </c>
    </row>
    <row r="102" spans="2:6">
      <c r="B102" s="27" t="s">
        <v>320</v>
      </c>
      <c r="C102" s="154">
        <v>17000</v>
      </c>
      <c r="D102" s="154">
        <v>17000</v>
      </c>
      <c r="E102" s="154">
        <v>6000</v>
      </c>
      <c r="F102" s="289" t="s">
        <v>464</v>
      </c>
    </row>
    <row r="103" spans="2:6">
      <c r="B103" s="27" t="s">
        <v>322</v>
      </c>
      <c r="C103" s="44">
        <v>10000</v>
      </c>
      <c r="D103" s="44">
        <v>20000</v>
      </c>
      <c r="E103" s="45">
        <v>50000</v>
      </c>
    </row>
    <row r="104" spans="2:6">
      <c r="B104" s="27" t="s">
        <v>324</v>
      </c>
      <c r="C104" s="146">
        <v>10000</v>
      </c>
      <c r="D104" s="146">
        <v>20000</v>
      </c>
      <c r="E104" s="146">
        <v>30000</v>
      </c>
    </row>
    <row r="105" spans="2:6">
      <c r="B105" s="27" t="s">
        <v>200</v>
      </c>
      <c r="C105" s="44">
        <v>10000</v>
      </c>
      <c r="D105" s="44">
        <v>5000</v>
      </c>
      <c r="E105" s="44">
        <v>0</v>
      </c>
      <c r="F105" t="s">
        <v>463</v>
      </c>
    </row>
    <row r="106" spans="2:6">
      <c r="B106" s="27" t="s">
        <v>339</v>
      </c>
      <c r="C106" s="44">
        <v>50000</v>
      </c>
      <c r="D106" s="44">
        <v>0</v>
      </c>
      <c r="E106" s="44">
        <v>0</v>
      </c>
    </row>
    <row r="107" spans="2:6">
      <c r="B107" s="27" t="s">
        <v>343</v>
      </c>
      <c r="C107" s="153">
        <v>40000</v>
      </c>
      <c r="D107" s="153">
        <v>20000</v>
      </c>
      <c r="E107" s="153">
        <v>40000</v>
      </c>
    </row>
    <row r="108" spans="2:6">
      <c r="B108" s="27" t="s">
        <v>206</v>
      </c>
      <c r="C108" s="153">
        <v>15000</v>
      </c>
      <c r="D108" s="153">
        <v>25000</v>
      </c>
      <c r="E108" s="153">
        <v>25000</v>
      </c>
    </row>
    <row r="109" spans="2:6">
      <c r="B109" s="27" t="s">
        <v>344</v>
      </c>
      <c r="C109" s="153">
        <v>13000</v>
      </c>
      <c r="D109" s="44">
        <v>0</v>
      </c>
      <c r="E109" s="153">
        <v>25000</v>
      </c>
    </row>
    <row r="110" spans="2:6">
      <c r="B110" s="29" t="s">
        <v>325</v>
      </c>
      <c r="C110" s="47">
        <f>SUM(C102:C109)-C107-C108-C109</f>
        <v>97000</v>
      </c>
      <c r="D110" s="47">
        <f>SUM(D102:D109)-D107-D108-D109</f>
        <v>62000</v>
      </c>
      <c r="E110" s="47">
        <f>E103+E104</f>
        <v>80000</v>
      </c>
    </row>
    <row r="111" spans="2:6">
      <c r="B111" s="29" t="s">
        <v>210</v>
      </c>
      <c r="C111" s="44">
        <v>30000</v>
      </c>
      <c r="D111" s="44">
        <v>30000</v>
      </c>
      <c r="E111" s="44">
        <v>40000</v>
      </c>
    </row>
    <row r="112" spans="2:6">
      <c r="B112" s="29" t="s">
        <v>340</v>
      </c>
      <c r="C112" s="44">
        <v>5000</v>
      </c>
      <c r="D112" s="44">
        <v>0</v>
      </c>
      <c r="E112" s="44">
        <v>0</v>
      </c>
    </row>
    <row r="113" spans="1:10">
      <c r="B113" s="27" t="s">
        <v>342</v>
      </c>
      <c r="C113" s="44">
        <v>0</v>
      </c>
      <c r="D113" s="44">
        <v>50000</v>
      </c>
      <c r="E113" s="44">
        <v>70000</v>
      </c>
    </row>
    <row r="114" spans="1:10">
      <c r="B114" s="29"/>
      <c r="C114" s="47">
        <f>C110+C111+C112+C113</f>
        <v>132000</v>
      </c>
      <c r="D114" s="47">
        <f>D110+D111+D112+D113</f>
        <v>142000</v>
      </c>
      <c r="E114" s="47">
        <f>E110+E111+E112+E113</f>
        <v>190000</v>
      </c>
    </row>
    <row r="115" spans="1:10">
      <c r="B115" s="29"/>
      <c r="C115" s="47"/>
      <c r="D115" s="47"/>
      <c r="E115" s="47">
        <f>E114+E102</f>
        <v>196000</v>
      </c>
      <c r="F115" t="s">
        <v>473</v>
      </c>
    </row>
    <row r="116" spans="1:10">
      <c r="B116" s="29"/>
      <c r="C116" s="47"/>
      <c r="D116" s="47"/>
      <c r="E116" s="47"/>
    </row>
    <row r="117" spans="1:10">
      <c r="B117" s="29"/>
      <c r="C117" s="47"/>
      <c r="D117" s="47"/>
      <c r="E117" s="47"/>
    </row>
    <row r="119" spans="1:10">
      <c r="C119" t="s">
        <v>345</v>
      </c>
      <c r="D119" s="155">
        <v>63000</v>
      </c>
    </row>
    <row r="120" spans="1:10">
      <c r="C120" t="s">
        <v>347</v>
      </c>
      <c r="D120" s="155">
        <v>6000</v>
      </c>
    </row>
    <row r="121" spans="1:10">
      <c r="C121" t="s">
        <v>348</v>
      </c>
      <c r="D121" s="43">
        <f>D114-D113</f>
        <v>92000</v>
      </c>
    </row>
    <row r="122" spans="1:10">
      <c r="C122" s="26" t="s">
        <v>346</v>
      </c>
      <c r="D122" s="136">
        <f>D114-D119-D120-D113</f>
        <v>23000</v>
      </c>
    </row>
    <row r="126" spans="1:10">
      <c r="A126" t="s">
        <v>371</v>
      </c>
    </row>
    <row r="127" spans="1:10">
      <c r="A127">
        <v>2023</v>
      </c>
      <c r="B127" s="155">
        <v>179904</v>
      </c>
      <c r="D127" s="159">
        <v>2023</v>
      </c>
      <c r="E127" s="159" t="s">
        <v>372</v>
      </c>
      <c r="F127" s="157"/>
      <c r="H127" s="157">
        <v>2023</v>
      </c>
      <c r="I127" s="157"/>
      <c r="J127" s="157"/>
    </row>
    <row r="128" spans="1:10">
      <c r="A128">
        <v>2022</v>
      </c>
      <c r="B128" s="155">
        <v>128070</v>
      </c>
      <c r="D128" s="158" t="s">
        <v>373</v>
      </c>
      <c r="E128" s="157">
        <v>261</v>
      </c>
      <c r="F128" s="157"/>
      <c r="H128" s="157" t="s">
        <v>378</v>
      </c>
      <c r="I128" s="157"/>
      <c r="J128" s="157"/>
    </row>
    <row r="129" spans="1:10">
      <c r="A129">
        <v>2021</v>
      </c>
      <c r="B129" s="155">
        <v>121930</v>
      </c>
      <c r="D129" s="158" t="s">
        <v>374</v>
      </c>
      <c r="E129" s="157">
        <v>23</v>
      </c>
      <c r="F129" s="157"/>
      <c r="H129" s="157" t="s">
        <v>379</v>
      </c>
      <c r="I129" s="157"/>
      <c r="J129" s="157">
        <v>399</v>
      </c>
    </row>
    <row r="130" spans="1:10">
      <c r="D130" s="158" t="s">
        <v>375</v>
      </c>
      <c r="E130" s="157">
        <v>52</v>
      </c>
      <c r="F130" s="157"/>
      <c r="H130" s="157" t="s">
        <v>383</v>
      </c>
      <c r="I130" s="157"/>
      <c r="J130" s="157">
        <v>-32</v>
      </c>
    </row>
    <row r="131" spans="1:10">
      <c r="D131" s="160" t="s">
        <v>228</v>
      </c>
      <c r="E131" s="159">
        <f>SUM(E128:E130)</f>
        <v>336</v>
      </c>
      <c r="F131" s="157"/>
      <c r="H131" s="157"/>
      <c r="I131" s="157"/>
      <c r="J131" s="157"/>
    </row>
    <row r="132" spans="1:10">
      <c r="D132" s="157"/>
      <c r="E132" s="157"/>
      <c r="F132" s="157"/>
      <c r="H132" s="157" t="s">
        <v>380</v>
      </c>
      <c r="I132" s="157"/>
      <c r="J132" s="157">
        <v>-329</v>
      </c>
    </row>
    <row r="133" spans="1:10">
      <c r="D133" s="158" t="s">
        <v>376</v>
      </c>
      <c r="E133" s="157" t="s">
        <v>377</v>
      </c>
      <c r="F133" s="157"/>
      <c r="H133" s="157" t="s">
        <v>381</v>
      </c>
      <c r="I133" s="157"/>
      <c r="J133" s="157"/>
    </row>
    <row r="134" spans="1:10">
      <c r="D134" s="158" t="s">
        <v>391</v>
      </c>
      <c r="E134" s="157"/>
      <c r="F134" s="157"/>
    </row>
    <row r="135" spans="1:10">
      <c r="D135" s="157"/>
      <c r="E135" s="157"/>
      <c r="F135" s="157"/>
    </row>
    <row r="136" spans="1:10">
      <c r="D136" s="159">
        <v>2023</v>
      </c>
      <c r="E136" s="159" t="s">
        <v>382</v>
      </c>
      <c r="F136" s="157"/>
    </row>
    <row r="137" spans="1:10">
      <c r="D137" s="157"/>
      <c r="E137" s="157" t="s">
        <v>385</v>
      </c>
      <c r="F137" s="157">
        <v>-117</v>
      </c>
    </row>
    <row r="138" spans="1:10">
      <c r="D138" s="157"/>
      <c r="E138" s="157" t="s">
        <v>386</v>
      </c>
      <c r="F138" s="157">
        <v>-58</v>
      </c>
    </row>
    <row r="139" spans="1:10">
      <c r="D139" s="157"/>
      <c r="E139" s="157" t="s">
        <v>384</v>
      </c>
      <c r="F139" s="157">
        <v>-32</v>
      </c>
    </row>
    <row r="140" spans="1:10">
      <c r="D140" s="157"/>
      <c r="E140" s="157" t="s">
        <v>387</v>
      </c>
      <c r="F140" s="157">
        <v>-3</v>
      </c>
    </row>
    <row r="141" spans="1:10">
      <c r="D141" s="157"/>
      <c r="E141" s="157" t="s">
        <v>388</v>
      </c>
      <c r="F141" s="157">
        <v>-157</v>
      </c>
    </row>
    <row r="142" spans="1:10">
      <c r="D142" s="157"/>
      <c r="E142" s="157" t="s">
        <v>389</v>
      </c>
      <c r="F142" s="157">
        <v>-12</v>
      </c>
    </row>
    <row r="143" spans="1:10">
      <c r="D143" s="157"/>
      <c r="E143" s="157"/>
      <c r="F143" s="159">
        <f>SUM(F137:F142)</f>
        <v>-379</v>
      </c>
    </row>
    <row r="144" spans="1:10">
      <c r="D144" s="157"/>
      <c r="E144" s="157"/>
      <c r="F144" s="157"/>
    </row>
    <row r="145" spans="4:6">
      <c r="D145" s="157"/>
      <c r="E145" s="161" t="s">
        <v>390</v>
      </c>
      <c r="F145" s="161">
        <f>E131+F143</f>
        <v>-43</v>
      </c>
    </row>
  </sheetData>
  <mergeCells count="2">
    <mergeCell ref="D27:D28"/>
    <mergeCell ref="E27:E28"/>
  </mergeCell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CFBD45-C031-4BAF-A727-16EC5ED66351}">
  <dimension ref="A2:A33"/>
  <sheetViews>
    <sheetView showGridLines="0" workbookViewId="0">
      <selection activeCell="H104" sqref="H104"/>
    </sheetView>
  </sheetViews>
  <sheetFormatPr defaultRowHeight="14.4"/>
  <sheetData>
    <row r="2" spans="1:1">
      <c r="A2" t="s">
        <v>367</v>
      </c>
    </row>
    <row r="4" spans="1:1">
      <c r="A4" s="156" t="s">
        <v>349</v>
      </c>
    </row>
    <row r="6" spans="1:1">
      <c r="A6" s="156" t="s">
        <v>350</v>
      </c>
    </row>
    <row r="7" spans="1:1">
      <c r="A7" s="156" t="s">
        <v>351</v>
      </c>
    </row>
    <row r="9" spans="1:1">
      <c r="A9" s="156" t="s">
        <v>352</v>
      </c>
    </row>
    <row r="10" spans="1:1">
      <c r="A10" s="156" t="s">
        <v>353</v>
      </c>
    </row>
    <row r="12" spans="1:1">
      <c r="A12" s="156" t="s">
        <v>354</v>
      </c>
    </row>
    <row r="13" spans="1:1">
      <c r="A13" s="156" t="s">
        <v>355</v>
      </c>
    </row>
    <row r="15" spans="1:1">
      <c r="A15" s="156" t="s">
        <v>356</v>
      </c>
    </row>
    <row r="17" spans="1:1">
      <c r="A17" s="156" t="s">
        <v>357</v>
      </c>
    </row>
    <row r="18" spans="1:1">
      <c r="A18" s="156" t="s">
        <v>358</v>
      </c>
    </row>
    <row r="20" spans="1:1">
      <c r="A20" s="156" t="s">
        <v>359</v>
      </c>
    </row>
    <row r="21" spans="1:1">
      <c r="A21" s="156" t="s">
        <v>360</v>
      </c>
    </row>
    <row r="22" spans="1:1">
      <c r="A22" s="156" t="s">
        <v>361</v>
      </c>
    </row>
    <row r="23" spans="1:1">
      <c r="A23" s="156" t="s">
        <v>362</v>
      </c>
    </row>
    <row r="24" spans="1:1">
      <c r="A24" s="156" t="s">
        <v>363</v>
      </c>
    </row>
    <row r="26" spans="1:1">
      <c r="A26" s="156" t="s">
        <v>364</v>
      </c>
    </row>
    <row r="27" spans="1:1">
      <c r="A27" s="156" t="s">
        <v>365</v>
      </c>
    </row>
    <row r="28" spans="1:1">
      <c r="A28" s="156" t="s">
        <v>366</v>
      </c>
    </row>
    <row r="30" spans="1:1">
      <c r="A30" s="156" t="s">
        <v>368</v>
      </c>
    </row>
    <row r="32" spans="1:1">
      <c r="A32" s="156" t="s">
        <v>369</v>
      </c>
    </row>
    <row r="33" spans="1:1">
      <c r="A33" s="156" t="s">
        <v>370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45"/>
  <sheetViews>
    <sheetView showGridLines="0" workbookViewId="0">
      <selection activeCell="H104" sqref="H104"/>
    </sheetView>
  </sheetViews>
  <sheetFormatPr defaultColWidth="9.109375" defaultRowHeight="11.4"/>
  <cols>
    <col min="1" max="1" width="9.109375" style="18"/>
    <col min="2" max="2" width="33.6640625" style="18" customWidth="1"/>
    <col min="3" max="3" width="12.109375" style="18" bestFit="1" customWidth="1"/>
    <col min="4" max="16384" width="9.109375" style="18"/>
  </cols>
  <sheetData>
    <row r="1" spans="2:3">
      <c r="B1" s="25" t="s">
        <v>170</v>
      </c>
    </row>
    <row r="2" spans="2:3">
      <c r="B2" s="25"/>
    </row>
    <row r="3" spans="2:3">
      <c r="B3" s="19" t="s">
        <v>171</v>
      </c>
      <c r="C3" s="20">
        <f>SUM(C4:C11)</f>
        <v>69000</v>
      </c>
    </row>
    <row r="4" spans="2:3">
      <c r="B4" s="21" t="s">
        <v>172</v>
      </c>
      <c r="C4" s="22">
        <v>8000</v>
      </c>
    </row>
    <row r="5" spans="2:3">
      <c r="B5" s="21" t="s">
        <v>173</v>
      </c>
      <c r="C5" s="22">
        <v>5000</v>
      </c>
    </row>
    <row r="6" spans="2:3">
      <c r="B6" s="21" t="s">
        <v>174</v>
      </c>
      <c r="C6" s="22">
        <v>9000</v>
      </c>
    </row>
    <row r="7" spans="2:3">
      <c r="B7" s="21" t="s">
        <v>175</v>
      </c>
      <c r="C7" s="22">
        <v>6000</v>
      </c>
    </row>
    <row r="8" spans="2:3">
      <c r="B8" s="21" t="s">
        <v>176</v>
      </c>
      <c r="C8" s="22">
        <v>3000</v>
      </c>
    </row>
    <row r="9" spans="2:3">
      <c r="B9" s="21" t="s">
        <v>177</v>
      </c>
      <c r="C9" s="22">
        <v>20000</v>
      </c>
    </row>
    <row r="10" spans="2:3">
      <c r="B10" s="21" t="s">
        <v>178</v>
      </c>
      <c r="C10" s="22">
        <v>8000</v>
      </c>
    </row>
    <row r="11" spans="2:3">
      <c r="B11" s="21" t="s">
        <v>179</v>
      </c>
      <c r="C11" s="22">
        <v>10000</v>
      </c>
    </row>
    <row r="12" spans="2:3">
      <c r="B12" s="19" t="s">
        <v>180</v>
      </c>
      <c r="C12" s="22">
        <v>5000</v>
      </c>
    </row>
    <row r="13" spans="2:3">
      <c r="B13" s="19" t="s">
        <v>181</v>
      </c>
      <c r="C13" s="22">
        <v>28000</v>
      </c>
    </row>
    <row r="14" spans="2:3">
      <c r="B14" s="19" t="s">
        <v>182</v>
      </c>
      <c r="C14" s="22">
        <v>5000</v>
      </c>
    </row>
    <row r="15" spans="2:3">
      <c r="B15" s="19" t="s">
        <v>183</v>
      </c>
      <c r="C15" s="22">
        <v>5000</v>
      </c>
    </row>
    <row r="16" spans="2:3">
      <c r="B16" s="19" t="s">
        <v>184</v>
      </c>
      <c r="C16" s="22">
        <v>10000</v>
      </c>
    </row>
    <row r="17" spans="1:3">
      <c r="B17" s="19" t="s">
        <v>185</v>
      </c>
      <c r="C17" s="22">
        <v>8000</v>
      </c>
    </row>
    <row r="18" spans="1:3">
      <c r="B18" s="19" t="s">
        <v>235</v>
      </c>
      <c r="C18" s="22">
        <v>5000</v>
      </c>
    </row>
    <row r="19" spans="1:3">
      <c r="B19" s="23" t="s">
        <v>186</v>
      </c>
      <c r="C19" s="24">
        <f>SUM(C12:C17)+C3+C18</f>
        <v>135000</v>
      </c>
    </row>
    <row r="24" spans="1:3">
      <c r="A24" s="18" t="s">
        <v>188</v>
      </c>
    </row>
    <row r="45" spans="3:3" ht="17.399999999999999">
      <c r="C45" s="285"/>
    </row>
  </sheetData>
  <pageMargins left="0.7" right="0.7" top="0.78740157499999996" bottom="0.78740157499999996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9CC757-B46D-421B-9CE9-E3DB540B3981}">
  <dimension ref="A1:P49"/>
  <sheetViews>
    <sheetView topLeftCell="A3" workbookViewId="0">
      <selection activeCell="H104" sqref="H104"/>
    </sheetView>
  </sheetViews>
  <sheetFormatPr defaultRowHeight="13.8"/>
  <cols>
    <col min="1" max="1" width="4.88671875" style="162" customWidth="1"/>
    <col min="2" max="2" width="38.6640625" style="163" customWidth="1"/>
    <col min="3" max="6" width="10.6640625" style="163" customWidth="1"/>
    <col min="7" max="8" width="13.44140625" style="163" customWidth="1"/>
    <col min="9" max="9" width="39.109375" style="163" customWidth="1"/>
    <col min="10" max="10" width="15.109375" style="163" customWidth="1"/>
    <col min="11" max="11" width="11.6640625" style="163" customWidth="1"/>
    <col min="12" max="12" width="10.6640625" style="163" customWidth="1"/>
    <col min="13" max="13" width="4.33203125" style="204" customWidth="1"/>
    <col min="14" max="14" width="4.44140625" style="163" customWidth="1"/>
    <col min="15" max="241" width="9.109375" style="163"/>
    <col min="242" max="242" width="7.33203125" style="163" customWidth="1"/>
    <col min="243" max="243" width="39.88671875" style="163" customWidth="1"/>
    <col min="244" max="246" width="10.33203125" style="163" customWidth="1"/>
    <col min="247" max="247" width="10.88671875" style="163" customWidth="1"/>
    <col min="248" max="248" width="12.6640625" style="163" customWidth="1"/>
    <col min="249" max="249" width="4.44140625" style="163" customWidth="1"/>
    <col min="250" max="250" width="34" style="163" customWidth="1"/>
    <col min="251" max="253" width="10.44140625" style="163" customWidth="1"/>
    <col min="254" max="254" width="10.5546875" style="163" customWidth="1"/>
    <col min="255" max="255" width="10.5546875" style="163" bestFit="1" customWidth="1"/>
    <col min="256" max="497" width="9.109375" style="163"/>
    <col min="498" max="498" width="7.33203125" style="163" customWidth="1"/>
    <col min="499" max="499" width="39.88671875" style="163" customWidth="1"/>
    <col min="500" max="502" width="10.33203125" style="163" customWidth="1"/>
    <col min="503" max="503" width="10.88671875" style="163" customWidth="1"/>
    <col min="504" max="504" width="12.6640625" style="163" customWidth="1"/>
    <col min="505" max="505" width="4.44140625" style="163" customWidth="1"/>
    <col min="506" max="506" width="34" style="163" customWidth="1"/>
    <col min="507" max="509" width="10.44140625" style="163" customWidth="1"/>
    <col min="510" max="510" width="10.5546875" style="163" customWidth="1"/>
    <col min="511" max="511" width="10.5546875" style="163" bestFit="1" customWidth="1"/>
    <col min="512" max="753" width="9.109375" style="163"/>
    <col min="754" max="754" width="7.33203125" style="163" customWidth="1"/>
    <col min="755" max="755" width="39.88671875" style="163" customWidth="1"/>
    <col min="756" max="758" width="10.33203125" style="163" customWidth="1"/>
    <col min="759" max="759" width="10.88671875" style="163" customWidth="1"/>
    <col min="760" max="760" width="12.6640625" style="163" customWidth="1"/>
    <col min="761" max="761" width="4.44140625" style="163" customWidth="1"/>
    <col min="762" max="762" width="34" style="163" customWidth="1"/>
    <col min="763" max="765" width="10.44140625" style="163" customWidth="1"/>
    <col min="766" max="766" width="10.5546875" style="163" customWidth="1"/>
    <col min="767" max="767" width="10.5546875" style="163" bestFit="1" customWidth="1"/>
    <col min="768" max="1009" width="9.109375" style="163"/>
    <col min="1010" max="1010" width="7.33203125" style="163" customWidth="1"/>
    <col min="1011" max="1011" width="39.88671875" style="163" customWidth="1"/>
    <col min="1012" max="1014" width="10.33203125" style="163" customWidth="1"/>
    <col min="1015" max="1015" width="10.88671875" style="163" customWidth="1"/>
    <col min="1016" max="1016" width="12.6640625" style="163" customWidth="1"/>
    <col min="1017" max="1017" width="4.44140625" style="163" customWidth="1"/>
    <col min="1018" max="1018" width="34" style="163" customWidth="1"/>
    <col min="1019" max="1021" width="10.44140625" style="163" customWidth="1"/>
    <col min="1022" max="1022" width="10.5546875" style="163" customWidth="1"/>
    <col min="1023" max="1023" width="10.5546875" style="163" bestFit="1" customWidth="1"/>
    <col min="1024" max="1265" width="9.109375" style="163"/>
    <col min="1266" max="1266" width="7.33203125" style="163" customWidth="1"/>
    <col min="1267" max="1267" width="39.88671875" style="163" customWidth="1"/>
    <col min="1268" max="1270" width="10.33203125" style="163" customWidth="1"/>
    <col min="1271" max="1271" width="10.88671875" style="163" customWidth="1"/>
    <col min="1272" max="1272" width="12.6640625" style="163" customWidth="1"/>
    <col min="1273" max="1273" width="4.44140625" style="163" customWidth="1"/>
    <col min="1274" max="1274" width="34" style="163" customWidth="1"/>
    <col min="1275" max="1277" width="10.44140625" style="163" customWidth="1"/>
    <col min="1278" max="1278" width="10.5546875" style="163" customWidth="1"/>
    <col min="1279" max="1279" width="10.5546875" style="163" bestFit="1" customWidth="1"/>
    <col min="1280" max="1521" width="9.109375" style="163"/>
    <col min="1522" max="1522" width="7.33203125" style="163" customWidth="1"/>
    <col min="1523" max="1523" width="39.88671875" style="163" customWidth="1"/>
    <col min="1524" max="1526" width="10.33203125" style="163" customWidth="1"/>
    <col min="1527" max="1527" width="10.88671875" style="163" customWidth="1"/>
    <col min="1528" max="1528" width="12.6640625" style="163" customWidth="1"/>
    <col min="1529" max="1529" width="4.44140625" style="163" customWidth="1"/>
    <col min="1530" max="1530" width="34" style="163" customWidth="1"/>
    <col min="1531" max="1533" width="10.44140625" style="163" customWidth="1"/>
    <col min="1534" max="1534" width="10.5546875" style="163" customWidth="1"/>
    <col min="1535" max="1535" width="10.5546875" style="163" bestFit="1" customWidth="1"/>
    <col min="1536" max="1777" width="9.109375" style="163"/>
    <col min="1778" max="1778" width="7.33203125" style="163" customWidth="1"/>
    <col min="1779" max="1779" width="39.88671875" style="163" customWidth="1"/>
    <col min="1780" max="1782" width="10.33203125" style="163" customWidth="1"/>
    <col min="1783" max="1783" width="10.88671875" style="163" customWidth="1"/>
    <col min="1784" max="1784" width="12.6640625" style="163" customWidth="1"/>
    <col min="1785" max="1785" width="4.44140625" style="163" customWidth="1"/>
    <col min="1786" max="1786" width="34" style="163" customWidth="1"/>
    <col min="1787" max="1789" width="10.44140625" style="163" customWidth="1"/>
    <col min="1790" max="1790" width="10.5546875" style="163" customWidth="1"/>
    <col min="1791" max="1791" width="10.5546875" style="163" bestFit="1" customWidth="1"/>
    <col min="1792" max="2033" width="9.109375" style="163"/>
    <col min="2034" max="2034" width="7.33203125" style="163" customWidth="1"/>
    <col min="2035" max="2035" width="39.88671875" style="163" customWidth="1"/>
    <col min="2036" max="2038" width="10.33203125" style="163" customWidth="1"/>
    <col min="2039" max="2039" width="10.88671875" style="163" customWidth="1"/>
    <col min="2040" max="2040" width="12.6640625" style="163" customWidth="1"/>
    <col min="2041" max="2041" width="4.44140625" style="163" customWidth="1"/>
    <col min="2042" max="2042" width="34" style="163" customWidth="1"/>
    <col min="2043" max="2045" width="10.44140625" style="163" customWidth="1"/>
    <col min="2046" max="2046" width="10.5546875" style="163" customWidth="1"/>
    <col min="2047" max="2047" width="10.5546875" style="163" bestFit="1" customWidth="1"/>
    <col min="2048" max="2289" width="9.109375" style="163"/>
    <col min="2290" max="2290" width="7.33203125" style="163" customWidth="1"/>
    <col min="2291" max="2291" width="39.88671875" style="163" customWidth="1"/>
    <col min="2292" max="2294" width="10.33203125" style="163" customWidth="1"/>
    <col min="2295" max="2295" width="10.88671875" style="163" customWidth="1"/>
    <col min="2296" max="2296" width="12.6640625" style="163" customWidth="1"/>
    <col min="2297" max="2297" width="4.44140625" style="163" customWidth="1"/>
    <col min="2298" max="2298" width="34" style="163" customWidth="1"/>
    <col min="2299" max="2301" width="10.44140625" style="163" customWidth="1"/>
    <col min="2302" max="2302" width="10.5546875" style="163" customWidth="1"/>
    <col min="2303" max="2303" width="10.5546875" style="163" bestFit="1" customWidth="1"/>
    <col min="2304" max="2545" width="9.109375" style="163"/>
    <col min="2546" max="2546" width="7.33203125" style="163" customWidth="1"/>
    <col min="2547" max="2547" width="39.88671875" style="163" customWidth="1"/>
    <col min="2548" max="2550" width="10.33203125" style="163" customWidth="1"/>
    <col min="2551" max="2551" width="10.88671875" style="163" customWidth="1"/>
    <col min="2552" max="2552" width="12.6640625" style="163" customWidth="1"/>
    <col min="2553" max="2553" width="4.44140625" style="163" customWidth="1"/>
    <col min="2554" max="2554" width="34" style="163" customWidth="1"/>
    <col min="2555" max="2557" width="10.44140625" style="163" customWidth="1"/>
    <col min="2558" max="2558" width="10.5546875" style="163" customWidth="1"/>
    <col min="2559" max="2559" width="10.5546875" style="163" bestFit="1" customWidth="1"/>
    <col min="2560" max="2801" width="9.109375" style="163"/>
    <col min="2802" max="2802" width="7.33203125" style="163" customWidth="1"/>
    <col min="2803" max="2803" width="39.88671875" style="163" customWidth="1"/>
    <col min="2804" max="2806" width="10.33203125" style="163" customWidth="1"/>
    <col min="2807" max="2807" width="10.88671875" style="163" customWidth="1"/>
    <col min="2808" max="2808" width="12.6640625" style="163" customWidth="1"/>
    <col min="2809" max="2809" width="4.44140625" style="163" customWidth="1"/>
    <col min="2810" max="2810" width="34" style="163" customWidth="1"/>
    <col min="2811" max="2813" width="10.44140625" style="163" customWidth="1"/>
    <col min="2814" max="2814" width="10.5546875" style="163" customWidth="1"/>
    <col min="2815" max="2815" width="10.5546875" style="163" bestFit="1" customWidth="1"/>
    <col min="2816" max="3057" width="9.109375" style="163"/>
    <col min="3058" max="3058" width="7.33203125" style="163" customWidth="1"/>
    <col min="3059" max="3059" width="39.88671875" style="163" customWidth="1"/>
    <col min="3060" max="3062" width="10.33203125" style="163" customWidth="1"/>
    <col min="3063" max="3063" width="10.88671875" style="163" customWidth="1"/>
    <col min="3064" max="3064" width="12.6640625" style="163" customWidth="1"/>
    <col min="3065" max="3065" width="4.44140625" style="163" customWidth="1"/>
    <col min="3066" max="3066" width="34" style="163" customWidth="1"/>
    <col min="3067" max="3069" width="10.44140625" style="163" customWidth="1"/>
    <col min="3070" max="3070" width="10.5546875" style="163" customWidth="1"/>
    <col min="3071" max="3071" width="10.5546875" style="163" bestFit="1" customWidth="1"/>
    <col min="3072" max="3313" width="9.109375" style="163"/>
    <col min="3314" max="3314" width="7.33203125" style="163" customWidth="1"/>
    <col min="3315" max="3315" width="39.88671875" style="163" customWidth="1"/>
    <col min="3316" max="3318" width="10.33203125" style="163" customWidth="1"/>
    <col min="3319" max="3319" width="10.88671875" style="163" customWidth="1"/>
    <col min="3320" max="3320" width="12.6640625" style="163" customWidth="1"/>
    <col min="3321" max="3321" width="4.44140625" style="163" customWidth="1"/>
    <col min="3322" max="3322" width="34" style="163" customWidth="1"/>
    <col min="3323" max="3325" width="10.44140625" style="163" customWidth="1"/>
    <col min="3326" max="3326" width="10.5546875" style="163" customWidth="1"/>
    <col min="3327" max="3327" width="10.5546875" style="163" bestFit="1" customWidth="1"/>
    <col min="3328" max="3569" width="9.109375" style="163"/>
    <col min="3570" max="3570" width="7.33203125" style="163" customWidth="1"/>
    <col min="3571" max="3571" width="39.88671875" style="163" customWidth="1"/>
    <col min="3572" max="3574" width="10.33203125" style="163" customWidth="1"/>
    <col min="3575" max="3575" width="10.88671875" style="163" customWidth="1"/>
    <col min="3576" max="3576" width="12.6640625" style="163" customWidth="1"/>
    <col min="3577" max="3577" width="4.44140625" style="163" customWidth="1"/>
    <col min="3578" max="3578" width="34" style="163" customWidth="1"/>
    <col min="3579" max="3581" width="10.44140625" style="163" customWidth="1"/>
    <col min="3582" max="3582" width="10.5546875" style="163" customWidth="1"/>
    <col min="3583" max="3583" width="10.5546875" style="163" bestFit="1" customWidth="1"/>
    <col min="3584" max="3825" width="9.109375" style="163"/>
    <col min="3826" max="3826" width="7.33203125" style="163" customWidth="1"/>
    <col min="3827" max="3827" width="39.88671875" style="163" customWidth="1"/>
    <col min="3828" max="3830" width="10.33203125" style="163" customWidth="1"/>
    <col min="3831" max="3831" width="10.88671875" style="163" customWidth="1"/>
    <col min="3832" max="3832" width="12.6640625" style="163" customWidth="1"/>
    <col min="3833" max="3833" width="4.44140625" style="163" customWidth="1"/>
    <col min="3834" max="3834" width="34" style="163" customWidth="1"/>
    <col min="3835" max="3837" width="10.44140625" style="163" customWidth="1"/>
    <col min="3838" max="3838" width="10.5546875" style="163" customWidth="1"/>
    <col min="3839" max="3839" width="10.5546875" style="163" bestFit="1" customWidth="1"/>
    <col min="3840" max="4081" width="9.109375" style="163"/>
    <col min="4082" max="4082" width="7.33203125" style="163" customWidth="1"/>
    <col min="4083" max="4083" width="39.88671875" style="163" customWidth="1"/>
    <col min="4084" max="4086" width="10.33203125" style="163" customWidth="1"/>
    <col min="4087" max="4087" width="10.88671875" style="163" customWidth="1"/>
    <col min="4088" max="4088" width="12.6640625" style="163" customWidth="1"/>
    <col min="4089" max="4089" width="4.44140625" style="163" customWidth="1"/>
    <col min="4090" max="4090" width="34" style="163" customWidth="1"/>
    <col min="4091" max="4093" width="10.44140625" style="163" customWidth="1"/>
    <col min="4094" max="4094" width="10.5546875" style="163" customWidth="1"/>
    <col min="4095" max="4095" width="10.5546875" style="163" bestFit="1" customWidth="1"/>
    <col min="4096" max="4337" width="9.109375" style="163"/>
    <col min="4338" max="4338" width="7.33203125" style="163" customWidth="1"/>
    <col min="4339" max="4339" width="39.88671875" style="163" customWidth="1"/>
    <col min="4340" max="4342" width="10.33203125" style="163" customWidth="1"/>
    <col min="4343" max="4343" width="10.88671875" style="163" customWidth="1"/>
    <col min="4344" max="4344" width="12.6640625" style="163" customWidth="1"/>
    <col min="4345" max="4345" width="4.44140625" style="163" customWidth="1"/>
    <col min="4346" max="4346" width="34" style="163" customWidth="1"/>
    <col min="4347" max="4349" width="10.44140625" style="163" customWidth="1"/>
    <col min="4350" max="4350" width="10.5546875" style="163" customWidth="1"/>
    <col min="4351" max="4351" width="10.5546875" style="163" bestFit="1" customWidth="1"/>
    <col min="4352" max="4593" width="9.109375" style="163"/>
    <col min="4594" max="4594" width="7.33203125" style="163" customWidth="1"/>
    <col min="4595" max="4595" width="39.88671875" style="163" customWidth="1"/>
    <col min="4596" max="4598" width="10.33203125" style="163" customWidth="1"/>
    <col min="4599" max="4599" width="10.88671875" style="163" customWidth="1"/>
    <col min="4600" max="4600" width="12.6640625" style="163" customWidth="1"/>
    <col min="4601" max="4601" width="4.44140625" style="163" customWidth="1"/>
    <col min="4602" max="4602" width="34" style="163" customWidth="1"/>
    <col min="4603" max="4605" width="10.44140625" style="163" customWidth="1"/>
    <col min="4606" max="4606" width="10.5546875" style="163" customWidth="1"/>
    <col min="4607" max="4607" width="10.5546875" style="163" bestFit="1" customWidth="1"/>
    <col min="4608" max="4849" width="9.109375" style="163"/>
    <col min="4850" max="4850" width="7.33203125" style="163" customWidth="1"/>
    <col min="4851" max="4851" width="39.88671875" style="163" customWidth="1"/>
    <col min="4852" max="4854" width="10.33203125" style="163" customWidth="1"/>
    <col min="4855" max="4855" width="10.88671875" style="163" customWidth="1"/>
    <col min="4856" max="4856" width="12.6640625" style="163" customWidth="1"/>
    <col min="4857" max="4857" width="4.44140625" style="163" customWidth="1"/>
    <col min="4858" max="4858" width="34" style="163" customWidth="1"/>
    <col min="4859" max="4861" width="10.44140625" style="163" customWidth="1"/>
    <col min="4862" max="4862" width="10.5546875" style="163" customWidth="1"/>
    <col min="4863" max="4863" width="10.5546875" style="163" bestFit="1" customWidth="1"/>
    <col min="4864" max="5105" width="9.109375" style="163"/>
    <col min="5106" max="5106" width="7.33203125" style="163" customWidth="1"/>
    <col min="5107" max="5107" width="39.88671875" style="163" customWidth="1"/>
    <col min="5108" max="5110" width="10.33203125" style="163" customWidth="1"/>
    <col min="5111" max="5111" width="10.88671875" style="163" customWidth="1"/>
    <col min="5112" max="5112" width="12.6640625" style="163" customWidth="1"/>
    <col min="5113" max="5113" width="4.44140625" style="163" customWidth="1"/>
    <col min="5114" max="5114" width="34" style="163" customWidth="1"/>
    <col min="5115" max="5117" width="10.44140625" style="163" customWidth="1"/>
    <col min="5118" max="5118" width="10.5546875" style="163" customWidth="1"/>
    <col min="5119" max="5119" width="10.5546875" style="163" bestFit="1" customWidth="1"/>
    <col min="5120" max="5361" width="9.109375" style="163"/>
    <col min="5362" max="5362" width="7.33203125" style="163" customWidth="1"/>
    <col min="5363" max="5363" width="39.88671875" style="163" customWidth="1"/>
    <col min="5364" max="5366" width="10.33203125" style="163" customWidth="1"/>
    <col min="5367" max="5367" width="10.88671875" style="163" customWidth="1"/>
    <col min="5368" max="5368" width="12.6640625" style="163" customWidth="1"/>
    <col min="5369" max="5369" width="4.44140625" style="163" customWidth="1"/>
    <col min="5370" max="5370" width="34" style="163" customWidth="1"/>
    <col min="5371" max="5373" width="10.44140625" style="163" customWidth="1"/>
    <col min="5374" max="5374" width="10.5546875" style="163" customWidth="1"/>
    <col min="5375" max="5375" width="10.5546875" style="163" bestFit="1" customWidth="1"/>
    <col min="5376" max="5617" width="9.109375" style="163"/>
    <col min="5618" max="5618" width="7.33203125" style="163" customWidth="1"/>
    <col min="5619" max="5619" width="39.88671875" style="163" customWidth="1"/>
    <col min="5620" max="5622" width="10.33203125" style="163" customWidth="1"/>
    <col min="5623" max="5623" width="10.88671875" style="163" customWidth="1"/>
    <col min="5624" max="5624" width="12.6640625" style="163" customWidth="1"/>
    <col min="5625" max="5625" width="4.44140625" style="163" customWidth="1"/>
    <col min="5626" max="5626" width="34" style="163" customWidth="1"/>
    <col min="5627" max="5629" width="10.44140625" style="163" customWidth="1"/>
    <col min="5630" max="5630" width="10.5546875" style="163" customWidth="1"/>
    <col min="5631" max="5631" width="10.5546875" style="163" bestFit="1" customWidth="1"/>
    <col min="5632" max="5873" width="9.109375" style="163"/>
    <col min="5874" max="5874" width="7.33203125" style="163" customWidth="1"/>
    <col min="5875" max="5875" width="39.88671875" style="163" customWidth="1"/>
    <col min="5876" max="5878" width="10.33203125" style="163" customWidth="1"/>
    <col min="5879" max="5879" width="10.88671875" style="163" customWidth="1"/>
    <col min="5880" max="5880" width="12.6640625" style="163" customWidth="1"/>
    <col min="5881" max="5881" width="4.44140625" style="163" customWidth="1"/>
    <col min="5882" max="5882" width="34" style="163" customWidth="1"/>
    <col min="5883" max="5885" width="10.44140625" style="163" customWidth="1"/>
    <col min="5886" max="5886" width="10.5546875" style="163" customWidth="1"/>
    <col min="5887" max="5887" width="10.5546875" style="163" bestFit="1" customWidth="1"/>
    <col min="5888" max="6129" width="9.109375" style="163"/>
    <col min="6130" max="6130" width="7.33203125" style="163" customWidth="1"/>
    <col min="6131" max="6131" width="39.88671875" style="163" customWidth="1"/>
    <col min="6132" max="6134" width="10.33203125" style="163" customWidth="1"/>
    <col min="6135" max="6135" width="10.88671875" style="163" customWidth="1"/>
    <col min="6136" max="6136" width="12.6640625" style="163" customWidth="1"/>
    <col min="6137" max="6137" width="4.44140625" style="163" customWidth="1"/>
    <col min="6138" max="6138" width="34" style="163" customWidth="1"/>
    <col min="6139" max="6141" width="10.44140625" style="163" customWidth="1"/>
    <col min="6142" max="6142" width="10.5546875" style="163" customWidth="1"/>
    <col min="6143" max="6143" width="10.5546875" style="163" bestFit="1" customWidth="1"/>
    <col min="6144" max="6385" width="9.109375" style="163"/>
    <col min="6386" max="6386" width="7.33203125" style="163" customWidth="1"/>
    <col min="6387" max="6387" width="39.88671875" style="163" customWidth="1"/>
    <col min="6388" max="6390" width="10.33203125" style="163" customWidth="1"/>
    <col min="6391" max="6391" width="10.88671875" style="163" customWidth="1"/>
    <col min="6392" max="6392" width="12.6640625" style="163" customWidth="1"/>
    <col min="6393" max="6393" width="4.44140625" style="163" customWidth="1"/>
    <col min="6394" max="6394" width="34" style="163" customWidth="1"/>
    <col min="6395" max="6397" width="10.44140625" style="163" customWidth="1"/>
    <col min="6398" max="6398" width="10.5546875" style="163" customWidth="1"/>
    <col min="6399" max="6399" width="10.5546875" style="163" bestFit="1" customWidth="1"/>
    <col min="6400" max="6641" width="9.109375" style="163"/>
    <col min="6642" max="6642" width="7.33203125" style="163" customWidth="1"/>
    <col min="6643" max="6643" width="39.88671875" style="163" customWidth="1"/>
    <col min="6644" max="6646" width="10.33203125" style="163" customWidth="1"/>
    <col min="6647" max="6647" width="10.88671875" style="163" customWidth="1"/>
    <col min="6648" max="6648" width="12.6640625" style="163" customWidth="1"/>
    <col min="6649" max="6649" width="4.44140625" style="163" customWidth="1"/>
    <col min="6650" max="6650" width="34" style="163" customWidth="1"/>
    <col min="6651" max="6653" width="10.44140625" style="163" customWidth="1"/>
    <col min="6654" max="6654" width="10.5546875" style="163" customWidth="1"/>
    <col min="6655" max="6655" width="10.5546875" style="163" bestFit="1" customWidth="1"/>
    <col min="6656" max="6897" width="9.109375" style="163"/>
    <col min="6898" max="6898" width="7.33203125" style="163" customWidth="1"/>
    <col min="6899" max="6899" width="39.88671875" style="163" customWidth="1"/>
    <col min="6900" max="6902" width="10.33203125" style="163" customWidth="1"/>
    <col min="6903" max="6903" width="10.88671875" style="163" customWidth="1"/>
    <col min="6904" max="6904" width="12.6640625" style="163" customWidth="1"/>
    <col min="6905" max="6905" width="4.44140625" style="163" customWidth="1"/>
    <col min="6906" max="6906" width="34" style="163" customWidth="1"/>
    <col min="6907" max="6909" width="10.44140625" style="163" customWidth="1"/>
    <col min="6910" max="6910" width="10.5546875" style="163" customWidth="1"/>
    <col min="6911" max="6911" width="10.5546875" style="163" bestFit="1" customWidth="1"/>
    <col min="6912" max="7153" width="9.109375" style="163"/>
    <col min="7154" max="7154" width="7.33203125" style="163" customWidth="1"/>
    <col min="7155" max="7155" width="39.88671875" style="163" customWidth="1"/>
    <col min="7156" max="7158" width="10.33203125" style="163" customWidth="1"/>
    <col min="7159" max="7159" width="10.88671875" style="163" customWidth="1"/>
    <col min="7160" max="7160" width="12.6640625" style="163" customWidth="1"/>
    <col min="7161" max="7161" width="4.44140625" style="163" customWidth="1"/>
    <col min="7162" max="7162" width="34" style="163" customWidth="1"/>
    <col min="7163" max="7165" width="10.44140625" style="163" customWidth="1"/>
    <col min="7166" max="7166" width="10.5546875" style="163" customWidth="1"/>
    <col min="7167" max="7167" width="10.5546875" style="163" bestFit="1" customWidth="1"/>
    <col min="7168" max="7409" width="9.109375" style="163"/>
    <col min="7410" max="7410" width="7.33203125" style="163" customWidth="1"/>
    <col min="7411" max="7411" width="39.88671875" style="163" customWidth="1"/>
    <col min="7412" max="7414" width="10.33203125" style="163" customWidth="1"/>
    <col min="7415" max="7415" width="10.88671875" style="163" customWidth="1"/>
    <col min="7416" max="7416" width="12.6640625" style="163" customWidth="1"/>
    <col min="7417" max="7417" width="4.44140625" style="163" customWidth="1"/>
    <col min="7418" max="7418" width="34" style="163" customWidth="1"/>
    <col min="7419" max="7421" width="10.44140625" style="163" customWidth="1"/>
    <col min="7422" max="7422" width="10.5546875" style="163" customWidth="1"/>
    <col min="7423" max="7423" width="10.5546875" style="163" bestFit="1" customWidth="1"/>
    <col min="7424" max="7665" width="9.109375" style="163"/>
    <col min="7666" max="7666" width="7.33203125" style="163" customWidth="1"/>
    <col min="7667" max="7667" width="39.88671875" style="163" customWidth="1"/>
    <col min="7668" max="7670" width="10.33203125" style="163" customWidth="1"/>
    <col min="7671" max="7671" width="10.88671875" style="163" customWidth="1"/>
    <col min="7672" max="7672" width="12.6640625" style="163" customWidth="1"/>
    <col min="7673" max="7673" width="4.44140625" style="163" customWidth="1"/>
    <col min="7674" max="7674" width="34" style="163" customWidth="1"/>
    <col min="7675" max="7677" width="10.44140625" style="163" customWidth="1"/>
    <col min="7678" max="7678" width="10.5546875" style="163" customWidth="1"/>
    <col min="7679" max="7679" width="10.5546875" style="163" bestFit="1" customWidth="1"/>
    <col min="7680" max="7921" width="9.109375" style="163"/>
    <col min="7922" max="7922" width="7.33203125" style="163" customWidth="1"/>
    <col min="7923" max="7923" width="39.88671875" style="163" customWidth="1"/>
    <col min="7924" max="7926" width="10.33203125" style="163" customWidth="1"/>
    <col min="7927" max="7927" width="10.88671875" style="163" customWidth="1"/>
    <col min="7928" max="7928" width="12.6640625" style="163" customWidth="1"/>
    <col min="7929" max="7929" width="4.44140625" style="163" customWidth="1"/>
    <col min="7930" max="7930" width="34" style="163" customWidth="1"/>
    <col min="7931" max="7933" width="10.44140625" style="163" customWidth="1"/>
    <col min="7934" max="7934" width="10.5546875" style="163" customWidth="1"/>
    <col min="7935" max="7935" width="10.5546875" style="163" bestFit="1" customWidth="1"/>
    <col min="7936" max="8177" width="9.109375" style="163"/>
    <col min="8178" max="8178" width="7.33203125" style="163" customWidth="1"/>
    <col min="8179" max="8179" width="39.88671875" style="163" customWidth="1"/>
    <col min="8180" max="8182" width="10.33203125" style="163" customWidth="1"/>
    <col min="8183" max="8183" width="10.88671875" style="163" customWidth="1"/>
    <col min="8184" max="8184" width="12.6640625" style="163" customWidth="1"/>
    <col min="8185" max="8185" width="4.44140625" style="163" customWidth="1"/>
    <col min="8186" max="8186" width="34" style="163" customWidth="1"/>
    <col min="8187" max="8189" width="10.44140625" style="163" customWidth="1"/>
    <col min="8190" max="8190" width="10.5546875" style="163" customWidth="1"/>
    <col min="8191" max="8191" width="10.5546875" style="163" bestFit="1" customWidth="1"/>
    <col min="8192" max="8433" width="9.109375" style="163"/>
    <col min="8434" max="8434" width="7.33203125" style="163" customWidth="1"/>
    <col min="8435" max="8435" width="39.88671875" style="163" customWidth="1"/>
    <col min="8436" max="8438" width="10.33203125" style="163" customWidth="1"/>
    <col min="8439" max="8439" width="10.88671875" style="163" customWidth="1"/>
    <col min="8440" max="8440" width="12.6640625" style="163" customWidth="1"/>
    <col min="8441" max="8441" width="4.44140625" style="163" customWidth="1"/>
    <col min="8442" max="8442" width="34" style="163" customWidth="1"/>
    <col min="8443" max="8445" width="10.44140625" style="163" customWidth="1"/>
    <col min="8446" max="8446" width="10.5546875" style="163" customWidth="1"/>
    <col min="8447" max="8447" width="10.5546875" style="163" bestFit="1" customWidth="1"/>
    <col min="8448" max="8689" width="9.109375" style="163"/>
    <col min="8690" max="8690" width="7.33203125" style="163" customWidth="1"/>
    <col min="8691" max="8691" width="39.88671875" style="163" customWidth="1"/>
    <col min="8692" max="8694" width="10.33203125" style="163" customWidth="1"/>
    <col min="8695" max="8695" width="10.88671875" style="163" customWidth="1"/>
    <col min="8696" max="8696" width="12.6640625" style="163" customWidth="1"/>
    <col min="8697" max="8697" width="4.44140625" style="163" customWidth="1"/>
    <col min="8698" max="8698" width="34" style="163" customWidth="1"/>
    <col min="8699" max="8701" width="10.44140625" style="163" customWidth="1"/>
    <col min="8702" max="8702" width="10.5546875" style="163" customWidth="1"/>
    <col min="8703" max="8703" width="10.5546875" style="163" bestFit="1" customWidth="1"/>
    <col min="8704" max="8945" width="9.109375" style="163"/>
    <col min="8946" max="8946" width="7.33203125" style="163" customWidth="1"/>
    <col min="8947" max="8947" width="39.88671875" style="163" customWidth="1"/>
    <col min="8948" max="8950" width="10.33203125" style="163" customWidth="1"/>
    <col min="8951" max="8951" width="10.88671875" style="163" customWidth="1"/>
    <col min="8952" max="8952" width="12.6640625" style="163" customWidth="1"/>
    <col min="8953" max="8953" width="4.44140625" style="163" customWidth="1"/>
    <col min="8954" max="8954" width="34" style="163" customWidth="1"/>
    <col min="8955" max="8957" width="10.44140625" style="163" customWidth="1"/>
    <col min="8958" max="8958" width="10.5546875" style="163" customWidth="1"/>
    <col min="8959" max="8959" width="10.5546875" style="163" bestFit="1" customWidth="1"/>
    <col min="8960" max="9201" width="9.109375" style="163"/>
    <col min="9202" max="9202" width="7.33203125" style="163" customWidth="1"/>
    <col min="9203" max="9203" width="39.88671875" style="163" customWidth="1"/>
    <col min="9204" max="9206" width="10.33203125" style="163" customWidth="1"/>
    <col min="9207" max="9207" width="10.88671875" style="163" customWidth="1"/>
    <col min="9208" max="9208" width="12.6640625" style="163" customWidth="1"/>
    <col min="9209" max="9209" width="4.44140625" style="163" customWidth="1"/>
    <col min="9210" max="9210" width="34" style="163" customWidth="1"/>
    <col min="9211" max="9213" width="10.44140625" style="163" customWidth="1"/>
    <col min="9214" max="9214" width="10.5546875" style="163" customWidth="1"/>
    <col min="9215" max="9215" width="10.5546875" style="163" bestFit="1" customWidth="1"/>
    <col min="9216" max="9457" width="9.109375" style="163"/>
    <col min="9458" max="9458" width="7.33203125" style="163" customWidth="1"/>
    <col min="9459" max="9459" width="39.88671875" style="163" customWidth="1"/>
    <col min="9460" max="9462" width="10.33203125" style="163" customWidth="1"/>
    <col min="9463" max="9463" width="10.88671875" style="163" customWidth="1"/>
    <col min="9464" max="9464" width="12.6640625" style="163" customWidth="1"/>
    <col min="9465" max="9465" width="4.44140625" style="163" customWidth="1"/>
    <col min="9466" max="9466" width="34" style="163" customWidth="1"/>
    <col min="9467" max="9469" width="10.44140625" style="163" customWidth="1"/>
    <col min="9470" max="9470" width="10.5546875" style="163" customWidth="1"/>
    <col min="9471" max="9471" width="10.5546875" style="163" bestFit="1" customWidth="1"/>
    <col min="9472" max="9713" width="9.109375" style="163"/>
    <col min="9714" max="9714" width="7.33203125" style="163" customWidth="1"/>
    <col min="9715" max="9715" width="39.88671875" style="163" customWidth="1"/>
    <col min="9716" max="9718" width="10.33203125" style="163" customWidth="1"/>
    <col min="9719" max="9719" width="10.88671875" style="163" customWidth="1"/>
    <col min="9720" max="9720" width="12.6640625" style="163" customWidth="1"/>
    <col min="9721" max="9721" width="4.44140625" style="163" customWidth="1"/>
    <col min="9722" max="9722" width="34" style="163" customWidth="1"/>
    <col min="9723" max="9725" width="10.44140625" style="163" customWidth="1"/>
    <col min="9726" max="9726" width="10.5546875" style="163" customWidth="1"/>
    <col min="9727" max="9727" width="10.5546875" style="163" bestFit="1" customWidth="1"/>
    <col min="9728" max="9969" width="9.109375" style="163"/>
    <col min="9970" max="9970" width="7.33203125" style="163" customWidth="1"/>
    <col min="9971" max="9971" width="39.88671875" style="163" customWidth="1"/>
    <col min="9972" max="9974" width="10.33203125" style="163" customWidth="1"/>
    <col min="9975" max="9975" width="10.88671875" style="163" customWidth="1"/>
    <col min="9976" max="9976" width="12.6640625" style="163" customWidth="1"/>
    <col min="9977" max="9977" width="4.44140625" style="163" customWidth="1"/>
    <col min="9978" max="9978" width="34" style="163" customWidth="1"/>
    <col min="9979" max="9981" width="10.44140625" style="163" customWidth="1"/>
    <col min="9982" max="9982" width="10.5546875" style="163" customWidth="1"/>
    <col min="9983" max="9983" width="10.5546875" style="163" bestFit="1" customWidth="1"/>
    <col min="9984" max="10225" width="9.109375" style="163"/>
    <col min="10226" max="10226" width="7.33203125" style="163" customWidth="1"/>
    <col min="10227" max="10227" width="39.88671875" style="163" customWidth="1"/>
    <col min="10228" max="10230" width="10.33203125" style="163" customWidth="1"/>
    <col min="10231" max="10231" width="10.88671875" style="163" customWidth="1"/>
    <col min="10232" max="10232" width="12.6640625" style="163" customWidth="1"/>
    <col min="10233" max="10233" width="4.44140625" style="163" customWidth="1"/>
    <col min="10234" max="10234" width="34" style="163" customWidth="1"/>
    <col min="10235" max="10237" width="10.44140625" style="163" customWidth="1"/>
    <col min="10238" max="10238" width="10.5546875" style="163" customWidth="1"/>
    <col min="10239" max="10239" width="10.5546875" style="163" bestFit="1" customWidth="1"/>
    <col min="10240" max="10481" width="9.109375" style="163"/>
    <col min="10482" max="10482" width="7.33203125" style="163" customWidth="1"/>
    <col min="10483" max="10483" width="39.88671875" style="163" customWidth="1"/>
    <col min="10484" max="10486" width="10.33203125" style="163" customWidth="1"/>
    <col min="10487" max="10487" width="10.88671875" style="163" customWidth="1"/>
    <col min="10488" max="10488" width="12.6640625" style="163" customWidth="1"/>
    <col min="10489" max="10489" width="4.44140625" style="163" customWidth="1"/>
    <col min="10490" max="10490" width="34" style="163" customWidth="1"/>
    <col min="10491" max="10493" width="10.44140625" style="163" customWidth="1"/>
    <col min="10494" max="10494" width="10.5546875" style="163" customWidth="1"/>
    <col min="10495" max="10495" width="10.5546875" style="163" bestFit="1" customWidth="1"/>
    <col min="10496" max="10737" width="9.109375" style="163"/>
    <col min="10738" max="10738" width="7.33203125" style="163" customWidth="1"/>
    <col min="10739" max="10739" width="39.88671875" style="163" customWidth="1"/>
    <col min="10740" max="10742" width="10.33203125" style="163" customWidth="1"/>
    <col min="10743" max="10743" width="10.88671875" style="163" customWidth="1"/>
    <col min="10744" max="10744" width="12.6640625" style="163" customWidth="1"/>
    <col min="10745" max="10745" width="4.44140625" style="163" customWidth="1"/>
    <col min="10746" max="10746" width="34" style="163" customWidth="1"/>
    <col min="10747" max="10749" width="10.44140625" style="163" customWidth="1"/>
    <col min="10750" max="10750" width="10.5546875" style="163" customWidth="1"/>
    <col min="10751" max="10751" width="10.5546875" style="163" bestFit="1" customWidth="1"/>
    <col min="10752" max="10993" width="9.109375" style="163"/>
    <col min="10994" max="10994" width="7.33203125" style="163" customWidth="1"/>
    <col min="10995" max="10995" width="39.88671875" style="163" customWidth="1"/>
    <col min="10996" max="10998" width="10.33203125" style="163" customWidth="1"/>
    <col min="10999" max="10999" width="10.88671875" style="163" customWidth="1"/>
    <col min="11000" max="11000" width="12.6640625" style="163" customWidth="1"/>
    <col min="11001" max="11001" width="4.44140625" style="163" customWidth="1"/>
    <col min="11002" max="11002" width="34" style="163" customWidth="1"/>
    <col min="11003" max="11005" width="10.44140625" style="163" customWidth="1"/>
    <col min="11006" max="11006" width="10.5546875" style="163" customWidth="1"/>
    <col min="11007" max="11007" width="10.5546875" style="163" bestFit="1" customWidth="1"/>
    <col min="11008" max="11249" width="9.109375" style="163"/>
    <col min="11250" max="11250" width="7.33203125" style="163" customWidth="1"/>
    <col min="11251" max="11251" width="39.88671875" style="163" customWidth="1"/>
    <col min="11252" max="11254" width="10.33203125" style="163" customWidth="1"/>
    <col min="11255" max="11255" width="10.88671875" style="163" customWidth="1"/>
    <col min="11256" max="11256" width="12.6640625" style="163" customWidth="1"/>
    <col min="11257" max="11257" width="4.44140625" style="163" customWidth="1"/>
    <col min="11258" max="11258" width="34" style="163" customWidth="1"/>
    <col min="11259" max="11261" width="10.44140625" style="163" customWidth="1"/>
    <col min="11262" max="11262" width="10.5546875" style="163" customWidth="1"/>
    <col min="11263" max="11263" width="10.5546875" style="163" bestFit="1" customWidth="1"/>
    <col min="11264" max="11505" width="9.109375" style="163"/>
    <col min="11506" max="11506" width="7.33203125" style="163" customWidth="1"/>
    <col min="11507" max="11507" width="39.88671875" style="163" customWidth="1"/>
    <col min="11508" max="11510" width="10.33203125" style="163" customWidth="1"/>
    <col min="11511" max="11511" width="10.88671875" style="163" customWidth="1"/>
    <col min="11512" max="11512" width="12.6640625" style="163" customWidth="1"/>
    <col min="11513" max="11513" width="4.44140625" style="163" customWidth="1"/>
    <col min="11514" max="11514" width="34" style="163" customWidth="1"/>
    <col min="11515" max="11517" width="10.44140625" style="163" customWidth="1"/>
    <col min="11518" max="11518" width="10.5546875" style="163" customWidth="1"/>
    <col min="11519" max="11519" width="10.5546875" style="163" bestFit="1" customWidth="1"/>
    <col min="11520" max="11761" width="9.109375" style="163"/>
    <col min="11762" max="11762" width="7.33203125" style="163" customWidth="1"/>
    <col min="11763" max="11763" width="39.88671875" style="163" customWidth="1"/>
    <col min="11764" max="11766" width="10.33203125" style="163" customWidth="1"/>
    <col min="11767" max="11767" width="10.88671875" style="163" customWidth="1"/>
    <col min="11768" max="11768" width="12.6640625" style="163" customWidth="1"/>
    <col min="11769" max="11769" width="4.44140625" style="163" customWidth="1"/>
    <col min="11770" max="11770" width="34" style="163" customWidth="1"/>
    <col min="11771" max="11773" width="10.44140625" style="163" customWidth="1"/>
    <col min="11774" max="11774" width="10.5546875" style="163" customWidth="1"/>
    <col min="11775" max="11775" width="10.5546875" style="163" bestFit="1" customWidth="1"/>
    <col min="11776" max="12017" width="9.109375" style="163"/>
    <col min="12018" max="12018" width="7.33203125" style="163" customWidth="1"/>
    <col min="12019" max="12019" width="39.88671875" style="163" customWidth="1"/>
    <col min="12020" max="12022" width="10.33203125" style="163" customWidth="1"/>
    <col min="12023" max="12023" width="10.88671875" style="163" customWidth="1"/>
    <col min="12024" max="12024" width="12.6640625" style="163" customWidth="1"/>
    <col min="12025" max="12025" width="4.44140625" style="163" customWidth="1"/>
    <col min="12026" max="12026" width="34" style="163" customWidth="1"/>
    <col min="12027" max="12029" width="10.44140625" style="163" customWidth="1"/>
    <col min="12030" max="12030" width="10.5546875" style="163" customWidth="1"/>
    <col min="12031" max="12031" width="10.5546875" style="163" bestFit="1" customWidth="1"/>
    <col min="12032" max="12273" width="9.109375" style="163"/>
    <col min="12274" max="12274" width="7.33203125" style="163" customWidth="1"/>
    <col min="12275" max="12275" width="39.88671875" style="163" customWidth="1"/>
    <col min="12276" max="12278" width="10.33203125" style="163" customWidth="1"/>
    <col min="12279" max="12279" width="10.88671875" style="163" customWidth="1"/>
    <col min="12280" max="12280" width="12.6640625" style="163" customWidth="1"/>
    <col min="12281" max="12281" width="4.44140625" style="163" customWidth="1"/>
    <col min="12282" max="12282" width="34" style="163" customWidth="1"/>
    <col min="12283" max="12285" width="10.44140625" style="163" customWidth="1"/>
    <col min="12286" max="12286" width="10.5546875" style="163" customWidth="1"/>
    <col min="12287" max="12287" width="10.5546875" style="163" bestFit="1" customWidth="1"/>
    <col min="12288" max="12529" width="9.109375" style="163"/>
    <col min="12530" max="12530" width="7.33203125" style="163" customWidth="1"/>
    <col min="12531" max="12531" width="39.88671875" style="163" customWidth="1"/>
    <col min="12532" max="12534" width="10.33203125" style="163" customWidth="1"/>
    <col min="12535" max="12535" width="10.88671875" style="163" customWidth="1"/>
    <col min="12536" max="12536" width="12.6640625" style="163" customWidth="1"/>
    <col min="12537" max="12537" width="4.44140625" style="163" customWidth="1"/>
    <col min="12538" max="12538" width="34" style="163" customWidth="1"/>
    <col min="12539" max="12541" width="10.44140625" style="163" customWidth="1"/>
    <col min="12542" max="12542" width="10.5546875" style="163" customWidth="1"/>
    <col min="12543" max="12543" width="10.5546875" style="163" bestFit="1" customWidth="1"/>
    <col min="12544" max="12785" width="9.109375" style="163"/>
    <col min="12786" max="12786" width="7.33203125" style="163" customWidth="1"/>
    <col min="12787" max="12787" width="39.88671875" style="163" customWidth="1"/>
    <col min="12788" max="12790" width="10.33203125" style="163" customWidth="1"/>
    <col min="12791" max="12791" width="10.88671875" style="163" customWidth="1"/>
    <col min="12792" max="12792" width="12.6640625" style="163" customWidth="1"/>
    <col min="12793" max="12793" width="4.44140625" style="163" customWidth="1"/>
    <col min="12794" max="12794" width="34" style="163" customWidth="1"/>
    <col min="12795" max="12797" width="10.44140625" style="163" customWidth="1"/>
    <col min="12798" max="12798" width="10.5546875" style="163" customWidth="1"/>
    <col min="12799" max="12799" width="10.5546875" style="163" bestFit="1" customWidth="1"/>
    <col min="12800" max="13041" width="9.109375" style="163"/>
    <col min="13042" max="13042" width="7.33203125" style="163" customWidth="1"/>
    <col min="13043" max="13043" width="39.88671875" style="163" customWidth="1"/>
    <col min="13044" max="13046" width="10.33203125" style="163" customWidth="1"/>
    <col min="13047" max="13047" width="10.88671875" style="163" customWidth="1"/>
    <col min="13048" max="13048" width="12.6640625" style="163" customWidth="1"/>
    <col min="13049" max="13049" width="4.44140625" style="163" customWidth="1"/>
    <col min="13050" max="13050" width="34" style="163" customWidth="1"/>
    <col min="13051" max="13053" width="10.44140625" style="163" customWidth="1"/>
    <col min="13054" max="13054" width="10.5546875" style="163" customWidth="1"/>
    <col min="13055" max="13055" width="10.5546875" style="163" bestFit="1" customWidth="1"/>
    <col min="13056" max="13297" width="9.109375" style="163"/>
    <col min="13298" max="13298" width="7.33203125" style="163" customWidth="1"/>
    <col min="13299" max="13299" width="39.88671875" style="163" customWidth="1"/>
    <col min="13300" max="13302" width="10.33203125" style="163" customWidth="1"/>
    <col min="13303" max="13303" width="10.88671875" style="163" customWidth="1"/>
    <col min="13304" max="13304" width="12.6640625" style="163" customWidth="1"/>
    <col min="13305" max="13305" width="4.44140625" style="163" customWidth="1"/>
    <col min="13306" max="13306" width="34" style="163" customWidth="1"/>
    <col min="13307" max="13309" width="10.44140625" style="163" customWidth="1"/>
    <col min="13310" max="13310" width="10.5546875" style="163" customWidth="1"/>
    <col min="13311" max="13311" width="10.5546875" style="163" bestFit="1" customWidth="1"/>
    <col min="13312" max="13553" width="9.109375" style="163"/>
    <col min="13554" max="13554" width="7.33203125" style="163" customWidth="1"/>
    <col min="13555" max="13555" width="39.88671875" style="163" customWidth="1"/>
    <col min="13556" max="13558" width="10.33203125" style="163" customWidth="1"/>
    <col min="13559" max="13559" width="10.88671875" style="163" customWidth="1"/>
    <col min="13560" max="13560" width="12.6640625" style="163" customWidth="1"/>
    <col min="13561" max="13561" width="4.44140625" style="163" customWidth="1"/>
    <col min="13562" max="13562" width="34" style="163" customWidth="1"/>
    <col min="13563" max="13565" width="10.44140625" style="163" customWidth="1"/>
    <col min="13566" max="13566" width="10.5546875" style="163" customWidth="1"/>
    <col min="13567" max="13567" width="10.5546875" style="163" bestFit="1" customWidth="1"/>
    <col min="13568" max="13809" width="9.109375" style="163"/>
    <col min="13810" max="13810" width="7.33203125" style="163" customWidth="1"/>
    <col min="13811" max="13811" width="39.88671875" style="163" customWidth="1"/>
    <col min="13812" max="13814" width="10.33203125" style="163" customWidth="1"/>
    <col min="13815" max="13815" width="10.88671875" style="163" customWidth="1"/>
    <col min="13816" max="13816" width="12.6640625" style="163" customWidth="1"/>
    <col min="13817" max="13817" width="4.44140625" style="163" customWidth="1"/>
    <col min="13818" max="13818" width="34" style="163" customWidth="1"/>
    <col min="13819" max="13821" width="10.44140625" style="163" customWidth="1"/>
    <col min="13822" max="13822" width="10.5546875" style="163" customWidth="1"/>
    <col min="13823" max="13823" width="10.5546875" style="163" bestFit="1" customWidth="1"/>
    <col min="13824" max="14065" width="9.109375" style="163"/>
    <col min="14066" max="14066" width="7.33203125" style="163" customWidth="1"/>
    <col min="14067" max="14067" width="39.88671875" style="163" customWidth="1"/>
    <col min="14068" max="14070" width="10.33203125" style="163" customWidth="1"/>
    <col min="14071" max="14071" width="10.88671875" style="163" customWidth="1"/>
    <col min="14072" max="14072" width="12.6640625" style="163" customWidth="1"/>
    <col min="14073" max="14073" width="4.44140625" style="163" customWidth="1"/>
    <col min="14074" max="14074" width="34" style="163" customWidth="1"/>
    <col min="14075" max="14077" width="10.44140625" style="163" customWidth="1"/>
    <col min="14078" max="14078" width="10.5546875" style="163" customWidth="1"/>
    <col min="14079" max="14079" width="10.5546875" style="163" bestFit="1" customWidth="1"/>
    <col min="14080" max="14321" width="9.109375" style="163"/>
    <col min="14322" max="14322" width="7.33203125" style="163" customWidth="1"/>
    <col min="14323" max="14323" width="39.88671875" style="163" customWidth="1"/>
    <col min="14324" max="14326" width="10.33203125" style="163" customWidth="1"/>
    <col min="14327" max="14327" width="10.88671875" style="163" customWidth="1"/>
    <col min="14328" max="14328" width="12.6640625" style="163" customWidth="1"/>
    <col min="14329" max="14329" width="4.44140625" style="163" customWidth="1"/>
    <col min="14330" max="14330" width="34" style="163" customWidth="1"/>
    <col min="14331" max="14333" width="10.44140625" style="163" customWidth="1"/>
    <col min="14334" max="14334" width="10.5546875" style="163" customWidth="1"/>
    <col min="14335" max="14335" width="10.5546875" style="163" bestFit="1" customWidth="1"/>
    <col min="14336" max="14577" width="9.109375" style="163"/>
    <col min="14578" max="14578" width="7.33203125" style="163" customWidth="1"/>
    <col min="14579" max="14579" width="39.88671875" style="163" customWidth="1"/>
    <col min="14580" max="14582" width="10.33203125" style="163" customWidth="1"/>
    <col min="14583" max="14583" width="10.88671875" style="163" customWidth="1"/>
    <col min="14584" max="14584" width="12.6640625" style="163" customWidth="1"/>
    <col min="14585" max="14585" width="4.44140625" style="163" customWidth="1"/>
    <col min="14586" max="14586" width="34" style="163" customWidth="1"/>
    <col min="14587" max="14589" width="10.44140625" style="163" customWidth="1"/>
    <col min="14590" max="14590" width="10.5546875" style="163" customWidth="1"/>
    <col min="14591" max="14591" width="10.5546875" style="163" bestFit="1" customWidth="1"/>
    <col min="14592" max="14833" width="9.109375" style="163"/>
    <col min="14834" max="14834" width="7.33203125" style="163" customWidth="1"/>
    <col min="14835" max="14835" width="39.88671875" style="163" customWidth="1"/>
    <col min="14836" max="14838" width="10.33203125" style="163" customWidth="1"/>
    <col min="14839" max="14839" width="10.88671875" style="163" customWidth="1"/>
    <col min="14840" max="14840" width="12.6640625" style="163" customWidth="1"/>
    <col min="14841" max="14841" width="4.44140625" style="163" customWidth="1"/>
    <col min="14842" max="14842" width="34" style="163" customWidth="1"/>
    <col min="14843" max="14845" width="10.44140625" style="163" customWidth="1"/>
    <col min="14846" max="14846" width="10.5546875" style="163" customWidth="1"/>
    <col min="14847" max="14847" width="10.5546875" style="163" bestFit="1" customWidth="1"/>
    <col min="14848" max="15089" width="9.109375" style="163"/>
    <col min="15090" max="15090" width="7.33203125" style="163" customWidth="1"/>
    <col min="15091" max="15091" width="39.88671875" style="163" customWidth="1"/>
    <col min="15092" max="15094" width="10.33203125" style="163" customWidth="1"/>
    <col min="15095" max="15095" width="10.88671875" style="163" customWidth="1"/>
    <col min="15096" max="15096" width="12.6640625" style="163" customWidth="1"/>
    <col min="15097" max="15097" width="4.44140625" style="163" customWidth="1"/>
    <col min="15098" max="15098" width="34" style="163" customWidth="1"/>
    <col min="15099" max="15101" width="10.44140625" style="163" customWidth="1"/>
    <col min="15102" max="15102" width="10.5546875" style="163" customWidth="1"/>
    <col min="15103" max="15103" width="10.5546875" style="163" bestFit="1" customWidth="1"/>
    <col min="15104" max="15345" width="9.109375" style="163"/>
    <col min="15346" max="15346" width="7.33203125" style="163" customWidth="1"/>
    <col min="15347" max="15347" width="39.88671875" style="163" customWidth="1"/>
    <col min="15348" max="15350" width="10.33203125" style="163" customWidth="1"/>
    <col min="15351" max="15351" width="10.88671875" style="163" customWidth="1"/>
    <col min="15352" max="15352" width="12.6640625" style="163" customWidth="1"/>
    <col min="15353" max="15353" width="4.44140625" style="163" customWidth="1"/>
    <col min="15354" max="15354" width="34" style="163" customWidth="1"/>
    <col min="15355" max="15357" width="10.44140625" style="163" customWidth="1"/>
    <col min="15358" max="15358" width="10.5546875" style="163" customWidth="1"/>
    <col min="15359" max="15359" width="10.5546875" style="163" bestFit="1" customWidth="1"/>
    <col min="15360" max="15601" width="9.109375" style="163"/>
    <col min="15602" max="15602" width="7.33203125" style="163" customWidth="1"/>
    <col min="15603" max="15603" width="39.88671875" style="163" customWidth="1"/>
    <col min="15604" max="15606" width="10.33203125" style="163" customWidth="1"/>
    <col min="15607" max="15607" width="10.88671875" style="163" customWidth="1"/>
    <col min="15608" max="15608" width="12.6640625" style="163" customWidth="1"/>
    <col min="15609" max="15609" width="4.44140625" style="163" customWidth="1"/>
    <col min="15610" max="15610" width="34" style="163" customWidth="1"/>
    <col min="15611" max="15613" width="10.44140625" style="163" customWidth="1"/>
    <col min="15614" max="15614" width="10.5546875" style="163" customWidth="1"/>
    <col min="15615" max="15615" width="10.5546875" style="163" bestFit="1" customWidth="1"/>
    <col min="15616" max="15857" width="9.109375" style="163"/>
    <col min="15858" max="15858" width="7.33203125" style="163" customWidth="1"/>
    <col min="15859" max="15859" width="39.88671875" style="163" customWidth="1"/>
    <col min="15860" max="15862" width="10.33203125" style="163" customWidth="1"/>
    <col min="15863" max="15863" width="10.88671875" style="163" customWidth="1"/>
    <col min="15864" max="15864" width="12.6640625" style="163" customWidth="1"/>
    <col min="15865" max="15865" width="4.44140625" style="163" customWidth="1"/>
    <col min="15866" max="15866" width="34" style="163" customWidth="1"/>
    <col min="15867" max="15869" width="10.44140625" style="163" customWidth="1"/>
    <col min="15870" max="15870" width="10.5546875" style="163" customWidth="1"/>
    <col min="15871" max="15871" width="10.5546875" style="163" bestFit="1" customWidth="1"/>
    <col min="15872" max="16113" width="9.109375" style="163"/>
    <col min="16114" max="16114" width="7.33203125" style="163" customWidth="1"/>
    <col min="16115" max="16115" width="39.88671875" style="163" customWidth="1"/>
    <col min="16116" max="16118" width="10.33203125" style="163" customWidth="1"/>
    <col min="16119" max="16119" width="10.88671875" style="163" customWidth="1"/>
    <col min="16120" max="16120" width="12.6640625" style="163" customWidth="1"/>
    <col min="16121" max="16121" width="4.44140625" style="163" customWidth="1"/>
    <col min="16122" max="16122" width="34" style="163" customWidth="1"/>
    <col min="16123" max="16125" width="10.44140625" style="163" customWidth="1"/>
    <col min="16126" max="16126" width="10.5546875" style="163" customWidth="1"/>
    <col min="16127" max="16127" width="10.5546875" style="163" bestFit="1" customWidth="1"/>
    <col min="16128" max="16384" width="9.109375" style="163"/>
  </cols>
  <sheetData>
    <row r="1" spans="1:13">
      <c r="M1" s="164"/>
    </row>
    <row r="2" spans="1:13" ht="22.8">
      <c r="B2" s="314" t="s">
        <v>392</v>
      </c>
      <c r="C2" s="314"/>
      <c r="D2" s="314"/>
      <c r="E2" s="314"/>
      <c r="F2" s="314"/>
      <c r="G2" s="314"/>
      <c r="H2" s="314"/>
      <c r="I2" s="314"/>
      <c r="J2" s="314"/>
      <c r="K2" s="314"/>
      <c r="L2" s="314"/>
      <c r="M2" s="164"/>
    </row>
    <row r="3" spans="1:13" ht="22.8">
      <c r="B3" s="314" t="s">
        <v>393</v>
      </c>
      <c r="C3" s="314"/>
      <c r="D3" s="314"/>
      <c r="E3" s="314"/>
      <c r="F3" s="314"/>
      <c r="G3" s="314"/>
      <c r="H3" s="314"/>
      <c r="I3" s="314"/>
      <c r="J3" s="314"/>
      <c r="K3" s="314"/>
      <c r="L3" s="314"/>
      <c r="M3" s="164"/>
    </row>
    <row r="4" spans="1:13" ht="15.6">
      <c r="A4" s="165"/>
      <c r="B4" s="315"/>
      <c r="C4" s="315"/>
      <c r="D4" s="166"/>
      <c r="E4" s="166"/>
      <c r="F4" s="166"/>
      <c r="G4" s="167"/>
      <c r="I4" s="315"/>
      <c r="J4" s="315"/>
      <c r="K4" s="166"/>
      <c r="L4" s="166"/>
      <c r="M4" s="164"/>
    </row>
    <row r="5" spans="1:13" ht="14.4" thickBot="1">
      <c r="I5" s="316"/>
      <c r="J5" s="316"/>
      <c r="K5" s="168"/>
      <c r="L5" s="168"/>
      <c r="M5" s="164"/>
    </row>
    <row r="6" spans="1:13" ht="28.2" thickBot="1">
      <c r="A6" s="169"/>
      <c r="B6" s="170" t="s">
        <v>394</v>
      </c>
      <c r="C6" s="170" t="s">
        <v>395</v>
      </c>
      <c r="D6" s="171" t="s">
        <v>396</v>
      </c>
      <c r="E6" s="172" t="s">
        <v>397</v>
      </c>
      <c r="F6" s="278" t="s">
        <v>445</v>
      </c>
      <c r="G6" s="278" t="s">
        <v>446</v>
      </c>
      <c r="I6" s="173" t="s">
        <v>398</v>
      </c>
      <c r="J6" s="173" t="s">
        <v>395</v>
      </c>
      <c r="K6" s="174" t="s">
        <v>399</v>
      </c>
      <c r="L6" s="173" t="s">
        <v>397</v>
      </c>
      <c r="M6" s="164"/>
    </row>
    <row r="7" spans="1:13" ht="14.4" thickBot="1">
      <c r="A7" s="175">
        <v>1</v>
      </c>
      <c r="B7" s="176" t="s">
        <v>400</v>
      </c>
      <c r="C7" s="177">
        <v>80</v>
      </c>
      <c r="D7" s="177"/>
      <c r="E7" s="178">
        <f>SUM(C7:D7)</f>
        <v>80</v>
      </c>
      <c r="F7" s="178">
        <v>45</v>
      </c>
      <c r="G7" s="178">
        <f>E7-F7</f>
        <v>35</v>
      </c>
      <c r="I7" s="179" t="s">
        <v>401</v>
      </c>
      <c r="J7" s="177">
        <v>115</v>
      </c>
      <c r="K7" s="180"/>
      <c r="L7" s="177">
        <f t="shared" ref="L7:L13" si="0">SUM(J7:K7)</f>
        <v>115</v>
      </c>
      <c r="M7" s="181" t="s">
        <v>402</v>
      </c>
    </row>
    <row r="8" spans="1:13" ht="14.4" thickBot="1">
      <c r="A8" s="175">
        <v>2</v>
      </c>
      <c r="B8" s="182" t="s">
        <v>403</v>
      </c>
      <c r="C8" s="183">
        <f>J8</f>
        <v>325</v>
      </c>
      <c r="D8" s="183"/>
      <c r="E8" s="178">
        <f t="shared" ref="E8:F25" si="1">SUM(C8:D8)</f>
        <v>325</v>
      </c>
      <c r="F8" s="178">
        <v>308</v>
      </c>
      <c r="G8" s="178">
        <f t="shared" ref="G8:G12" si="2">E8-F8</f>
        <v>17</v>
      </c>
      <c r="I8" s="179" t="s">
        <v>404</v>
      </c>
      <c r="J8" s="177">
        <f>J9+J10</f>
        <v>325</v>
      </c>
      <c r="K8" s="177">
        <f>K9+K10</f>
        <v>0</v>
      </c>
      <c r="L8" s="177">
        <f t="shared" si="0"/>
        <v>325</v>
      </c>
      <c r="M8" s="181"/>
    </row>
    <row r="9" spans="1:13" ht="14.4" thickBot="1">
      <c r="A9" s="175">
        <v>3</v>
      </c>
      <c r="B9" s="184" t="s">
        <v>405</v>
      </c>
      <c r="C9" s="177">
        <v>50</v>
      </c>
      <c r="D9" s="177"/>
      <c r="E9" s="178">
        <f t="shared" si="1"/>
        <v>50</v>
      </c>
      <c r="F9" s="178">
        <v>30</v>
      </c>
      <c r="G9" s="178">
        <f t="shared" si="2"/>
        <v>20</v>
      </c>
      <c r="I9" s="185" t="s">
        <v>406</v>
      </c>
      <c r="J9" s="186">
        <v>280</v>
      </c>
      <c r="K9" s="187"/>
      <c r="L9" s="188">
        <f t="shared" si="0"/>
        <v>280</v>
      </c>
      <c r="M9" s="181" t="s">
        <v>407</v>
      </c>
    </row>
    <row r="10" spans="1:13" ht="14.4" thickBot="1">
      <c r="A10" s="175">
        <v>4</v>
      </c>
      <c r="B10" s="182" t="s">
        <v>408</v>
      </c>
      <c r="C10" s="183">
        <v>25</v>
      </c>
      <c r="D10" s="183"/>
      <c r="E10" s="178">
        <f t="shared" si="1"/>
        <v>25</v>
      </c>
      <c r="F10" s="178">
        <v>25</v>
      </c>
      <c r="G10" s="178">
        <f t="shared" si="2"/>
        <v>0</v>
      </c>
      <c r="I10" s="189" t="s">
        <v>409</v>
      </c>
      <c r="J10" s="190">
        <v>45</v>
      </c>
      <c r="K10" s="191"/>
      <c r="L10" s="188">
        <f t="shared" si="0"/>
        <v>45</v>
      </c>
      <c r="M10" s="181" t="s">
        <v>410</v>
      </c>
    </row>
    <row r="11" spans="1:13" ht="18" thickBot="1">
      <c r="A11" s="175">
        <v>5</v>
      </c>
      <c r="B11" s="184" t="s">
        <v>411</v>
      </c>
      <c r="C11" s="177">
        <v>90</v>
      </c>
      <c r="D11" s="177"/>
      <c r="E11" s="178">
        <f t="shared" si="1"/>
        <v>90</v>
      </c>
      <c r="F11" s="178">
        <v>67</v>
      </c>
      <c r="G11" s="178">
        <f t="shared" si="2"/>
        <v>23</v>
      </c>
      <c r="I11" s="279" t="s">
        <v>412</v>
      </c>
      <c r="J11" s="280">
        <f>C26-J7-J8-J12-J13</f>
        <v>730</v>
      </c>
      <c r="K11" s="281"/>
      <c r="L11" s="280">
        <f t="shared" si="0"/>
        <v>730</v>
      </c>
      <c r="M11" s="181" t="s">
        <v>413</v>
      </c>
    </row>
    <row r="12" spans="1:13" ht="14.4" thickBot="1">
      <c r="A12" s="175"/>
      <c r="B12" s="176" t="s">
        <v>414</v>
      </c>
      <c r="C12" s="177">
        <f>C13+C14+C15</f>
        <v>250</v>
      </c>
      <c r="D12" s="177">
        <f>D13+D14+D15</f>
        <v>0</v>
      </c>
      <c r="E12" s="178">
        <f t="shared" si="1"/>
        <v>250</v>
      </c>
      <c r="F12" s="178">
        <v>215</v>
      </c>
      <c r="G12" s="178">
        <f t="shared" si="2"/>
        <v>35</v>
      </c>
      <c r="I12" s="179" t="s">
        <v>415</v>
      </c>
      <c r="J12" s="177">
        <v>0</v>
      </c>
      <c r="K12" s="180"/>
      <c r="L12" s="177">
        <f t="shared" si="0"/>
        <v>0</v>
      </c>
      <c r="M12" s="192" t="s">
        <v>416</v>
      </c>
    </row>
    <row r="13" spans="1:13" ht="14.4" thickBot="1">
      <c r="A13" s="175">
        <v>6</v>
      </c>
      <c r="B13" s="193" t="s">
        <v>417</v>
      </c>
      <c r="C13" s="188">
        <v>120</v>
      </c>
      <c r="D13" s="188"/>
      <c r="E13" s="194">
        <f t="shared" si="1"/>
        <v>120</v>
      </c>
      <c r="F13" s="194">
        <v>190</v>
      </c>
      <c r="G13" s="194"/>
      <c r="I13" s="195" t="s">
        <v>418</v>
      </c>
      <c r="J13" s="195">
        <v>0</v>
      </c>
      <c r="K13" s="196"/>
      <c r="L13" s="177">
        <f t="shared" si="0"/>
        <v>0</v>
      </c>
      <c r="M13" s="192" t="s">
        <v>419</v>
      </c>
    </row>
    <row r="14" spans="1:13" ht="14.4" thickBot="1">
      <c r="A14" s="175">
        <v>7</v>
      </c>
      <c r="B14" s="197" t="s">
        <v>420</v>
      </c>
      <c r="C14" s="198">
        <v>100</v>
      </c>
      <c r="D14" s="198"/>
      <c r="E14" s="199">
        <f t="shared" si="1"/>
        <v>100</v>
      </c>
      <c r="F14" s="199">
        <v>90</v>
      </c>
      <c r="G14" s="199"/>
      <c r="I14" s="200" t="s">
        <v>421</v>
      </c>
      <c r="J14" s="201">
        <f>J7+J8+J11+J12+J13</f>
        <v>1170</v>
      </c>
      <c r="K14" s="201">
        <f>K7+K8+K11+K12+K13</f>
        <v>0</v>
      </c>
      <c r="L14" s="201">
        <f t="shared" ref="L14" si="3">L7+L8+L11+L12+L13</f>
        <v>1170</v>
      </c>
      <c r="M14" s="164"/>
    </row>
    <row r="15" spans="1:13" ht="14.4" thickBot="1">
      <c r="A15" s="175">
        <v>8</v>
      </c>
      <c r="B15" s="197" t="s">
        <v>422</v>
      </c>
      <c r="C15" s="198">
        <v>30</v>
      </c>
      <c r="D15" s="198"/>
      <c r="E15" s="202">
        <f t="shared" si="1"/>
        <v>30</v>
      </c>
      <c r="F15" s="202">
        <v>25</v>
      </c>
      <c r="G15" s="202"/>
      <c r="L15" s="203"/>
      <c r="M15" s="164"/>
    </row>
    <row r="16" spans="1:13" ht="14.4" thickBot="1">
      <c r="A16" s="175"/>
      <c r="B16" s="176" t="s">
        <v>68</v>
      </c>
      <c r="C16" s="177">
        <f>SUM(C17:C18)</f>
        <v>75</v>
      </c>
      <c r="D16" s="177">
        <f>SUM(D17:D18)</f>
        <v>0</v>
      </c>
      <c r="E16" s="177">
        <f>SUM(E17:E18)</f>
        <v>75</v>
      </c>
      <c r="F16" s="177">
        <f>SUM(F17:F18)</f>
        <v>75</v>
      </c>
      <c r="G16" s="177">
        <f>E16-F16</f>
        <v>0</v>
      </c>
    </row>
    <row r="17" spans="1:16">
      <c r="A17" s="205">
        <v>9.1</v>
      </c>
      <c r="B17" s="206" t="s">
        <v>423</v>
      </c>
      <c r="C17" s="188">
        <v>20</v>
      </c>
      <c r="D17" s="188"/>
      <c r="E17" s="199">
        <f t="shared" si="1"/>
        <v>20</v>
      </c>
      <c r="F17" s="199">
        <f t="shared" si="1"/>
        <v>20</v>
      </c>
      <c r="G17" s="199"/>
      <c r="I17" s="207"/>
      <c r="J17" s="208"/>
      <c r="K17" s="209"/>
      <c r="L17" s="209"/>
      <c r="M17" s="164"/>
    </row>
    <row r="18" spans="1:16" ht="14.4" thickBot="1">
      <c r="A18" s="175">
        <v>10</v>
      </c>
      <c r="B18" s="210" t="s">
        <v>424</v>
      </c>
      <c r="C18" s="198">
        <v>55</v>
      </c>
      <c r="D18" s="198"/>
      <c r="E18" s="199">
        <f t="shared" si="1"/>
        <v>55</v>
      </c>
      <c r="F18" s="199">
        <f t="shared" si="1"/>
        <v>55</v>
      </c>
      <c r="G18" s="199"/>
      <c r="I18" s="207"/>
      <c r="J18" s="208"/>
      <c r="K18" s="209"/>
      <c r="L18" s="209"/>
      <c r="M18" s="164"/>
    </row>
    <row r="19" spans="1:16" ht="14.4" thickBot="1">
      <c r="A19" s="175"/>
      <c r="B19" s="176" t="s">
        <v>425</v>
      </c>
      <c r="C19" s="177">
        <f>C20+C21+C22+C23</f>
        <v>220</v>
      </c>
      <c r="D19" s="177">
        <f>D20+D21+D22+D23</f>
        <v>0</v>
      </c>
      <c r="E19" s="177">
        <f t="shared" si="1"/>
        <v>220</v>
      </c>
      <c r="F19" s="177">
        <v>233</v>
      </c>
      <c r="G19" s="177">
        <f>E19-F19</f>
        <v>-13</v>
      </c>
      <c r="I19" s="207"/>
      <c r="J19" s="208"/>
      <c r="K19" s="209"/>
      <c r="L19" s="209"/>
    </row>
    <row r="20" spans="1:16" ht="14.4">
      <c r="A20" s="175">
        <v>11</v>
      </c>
      <c r="B20" s="211" t="s">
        <v>426</v>
      </c>
      <c r="C20" s="212">
        <v>36</v>
      </c>
      <c r="D20" s="213"/>
      <c r="E20" s="188">
        <f t="shared" si="1"/>
        <v>36</v>
      </c>
      <c r="F20" s="188">
        <v>36</v>
      </c>
      <c r="G20" s="188"/>
      <c r="I20" s="207"/>
      <c r="J20" s="208"/>
      <c r="K20" s="209"/>
      <c r="L20" s="209"/>
    </row>
    <row r="21" spans="1:16" ht="14.4">
      <c r="A21" s="175">
        <v>12</v>
      </c>
      <c r="B21" s="214" t="s">
        <v>427</v>
      </c>
      <c r="C21" s="215">
        <v>66</v>
      </c>
      <c r="D21" s="216"/>
      <c r="E21" s="198">
        <f t="shared" si="1"/>
        <v>66</v>
      </c>
      <c r="F21" s="198">
        <v>86</v>
      </c>
      <c r="G21" s="198"/>
      <c r="I21" s="207"/>
      <c r="J21" s="208"/>
      <c r="K21" s="209"/>
      <c r="L21" s="209"/>
    </row>
    <row r="22" spans="1:16" ht="14.4">
      <c r="A22" s="175">
        <v>13</v>
      </c>
      <c r="B22" s="214" t="s">
        <v>428</v>
      </c>
      <c r="C22" s="215">
        <v>6</v>
      </c>
      <c r="D22" s="216"/>
      <c r="E22" s="198">
        <f t="shared" si="1"/>
        <v>6</v>
      </c>
      <c r="F22" s="198">
        <f t="shared" si="1"/>
        <v>6</v>
      </c>
      <c r="G22" s="198"/>
      <c r="I22" s="207"/>
      <c r="J22" s="208"/>
      <c r="K22" s="209"/>
      <c r="L22" s="209"/>
    </row>
    <row r="23" spans="1:16" ht="15" thickBot="1">
      <c r="A23" s="175">
        <v>14</v>
      </c>
      <c r="B23" s="217" t="s">
        <v>429</v>
      </c>
      <c r="C23" s="218">
        <v>112</v>
      </c>
      <c r="D23" s="219"/>
      <c r="E23" s="220">
        <f t="shared" si="1"/>
        <v>112</v>
      </c>
      <c r="F23" s="220">
        <v>123</v>
      </c>
      <c r="G23" s="220"/>
      <c r="I23" s="207"/>
      <c r="J23" s="208"/>
      <c r="K23" s="209"/>
      <c r="L23" s="209"/>
    </row>
    <row r="24" spans="1:16" ht="15" thickBot="1">
      <c r="A24" s="175">
        <v>15</v>
      </c>
      <c r="B24" s="176" t="s">
        <v>430</v>
      </c>
      <c r="C24" s="221">
        <v>40</v>
      </c>
      <c r="D24" s="221"/>
      <c r="E24" s="222">
        <f t="shared" si="1"/>
        <v>40</v>
      </c>
      <c r="F24" s="222">
        <v>35</v>
      </c>
      <c r="G24" s="222">
        <f>E24-F24</f>
        <v>5</v>
      </c>
      <c r="I24" s="207"/>
      <c r="J24" s="208"/>
      <c r="K24" s="209"/>
      <c r="L24" s="209"/>
    </row>
    <row r="25" spans="1:16" ht="14.4" thickBot="1">
      <c r="A25" s="175">
        <v>16</v>
      </c>
      <c r="B25" s="176" t="s">
        <v>431</v>
      </c>
      <c r="C25" s="177">
        <v>15</v>
      </c>
      <c r="D25" s="177"/>
      <c r="E25" s="178">
        <f t="shared" si="1"/>
        <v>15</v>
      </c>
      <c r="F25" s="178">
        <v>15</v>
      </c>
      <c r="G25" s="178">
        <f>E25-F25</f>
        <v>0</v>
      </c>
      <c r="I25" s="207"/>
      <c r="J25" s="208"/>
      <c r="K25" s="209"/>
      <c r="L25" s="209"/>
    </row>
    <row r="26" spans="1:16" ht="14.4" thickBot="1">
      <c r="B26" s="223" t="s">
        <v>432</v>
      </c>
      <c r="C26" s="224">
        <f>C7+C8+C9+C10+C11+C12+C16+C19+C25+C24</f>
        <v>1170</v>
      </c>
      <c r="D26" s="224">
        <f t="shared" ref="D26" si="4">D7+D8+D9+D10+D11+D12+D16+D19+D25+D24</f>
        <v>0</v>
      </c>
      <c r="E26" s="224">
        <f>E7+E8+E9+E10+E11+E12+E16+E19+E25+E24</f>
        <v>1170</v>
      </c>
      <c r="F26" s="282">
        <f>F7+F8+F9+F10+F11+F12+F16+F19+F25+F24</f>
        <v>1048</v>
      </c>
      <c r="G26" s="282">
        <f>G7+G8+G9+G10+G11+G12+G16+G19+G25+G24</f>
        <v>122</v>
      </c>
      <c r="I26" s="207"/>
      <c r="J26" s="208"/>
      <c r="K26" s="209"/>
      <c r="L26" s="209"/>
    </row>
    <row r="27" spans="1:16">
      <c r="G27" s="225"/>
    </row>
    <row r="28" spans="1:16" ht="15.6" hidden="1">
      <c r="B28" s="226"/>
      <c r="C28" s="226"/>
      <c r="D28" s="226"/>
      <c r="E28" s="226"/>
      <c r="F28" s="226"/>
      <c r="G28" s="226"/>
      <c r="I28" s="226"/>
      <c r="J28" s="227"/>
      <c r="K28" s="226"/>
      <c r="L28" s="226"/>
      <c r="M28" s="228"/>
      <c r="N28" s="226"/>
      <c r="O28" s="226"/>
      <c r="P28" s="226"/>
    </row>
    <row r="29" spans="1:16" ht="28.2" hidden="1" thickBot="1">
      <c r="B29" s="229" t="s">
        <v>433</v>
      </c>
      <c r="C29" s="230" t="s">
        <v>187</v>
      </c>
      <c r="D29" s="231" t="s">
        <v>399</v>
      </c>
      <c r="E29" s="173" t="s">
        <v>397</v>
      </c>
      <c r="F29" s="283"/>
      <c r="G29" s="227"/>
      <c r="I29" s="232" t="s">
        <v>434</v>
      </c>
      <c r="J29" s="233" t="s">
        <v>187</v>
      </c>
      <c r="K29" s="234" t="s">
        <v>396</v>
      </c>
      <c r="L29" s="173" t="s">
        <v>397</v>
      </c>
    </row>
    <row r="30" spans="1:16" ht="15.6" hidden="1">
      <c r="B30" s="235" t="s">
        <v>435</v>
      </c>
      <c r="C30" s="236">
        <v>3074</v>
      </c>
      <c r="D30" s="237"/>
      <c r="E30" s="236">
        <f>SUM(C30:D30)</f>
        <v>3074</v>
      </c>
      <c r="F30" s="226"/>
      <c r="G30" s="227"/>
      <c r="I30" s="238" t="s">
        <v>436</v>
      </c>
      <c r="J30" s="239">
        <f>C34</f>
        <v>4196</v>
      </c>
      <c r="K30" s="240">
        <f>D34</f>
        <v>0</v>
      </c>
      <c r="L30" s="239">
        <f>SUM(J30:K30)</f>
        <v>4196</v>
      </c>
    </row>
    <row r="31" spans="1:16" ht="15.6" hidden="1">
      <c r="B31" s="241" t="s">
        <v>437</v>
      </c>
      <c r="C31" s="242">
        <v>1039</v>
      </c>
      <c r="D31" s="243"/>
      <c r="E31" s="242">
        <f>SUM(C31:D31)</f>
        <v>1039</v>
      </c>
      <c r="F31" s="226"/>
      <c r="G31" s="226"/>
      <c r="I31" s="244"/>
      <c r="J31" s="242"/>
      <c r="K31" s="245"/>
      <c r="L31" s="242"/>
    </row>
    <row r="32" spans="1:16" ht="16.2" hidden="1" thickBot="1">
      <c r="B32" s="241" t="s">
        <v>438</v>
      </c>
      <c r="C32" s="242">
        <v>62</v>
      </c>
      <c r="D32" s="243"/>
      <c r="E32" s="242">
        <f>SUM(C32:D32)</f>
        <v>62</v>
      </c>
      <c r="F32" s="226"/>
      <c r="G32" s="226"/>
      <c r="I32" s="246" t="s">
        <v>228</v>
      </c>
      <c r="J32" s="247">
        <f>SUM(J30:J31)</f>
        <v>4196</v>
      </c>
      <c r="K32" s="248">
        <f>SUM(K30:K31)</f>
        <v>0</v>
      </c>
      <c r="L32" s="248">
        <f>SUM(L30:L31)</f>
        <v>4196</v>
      </c>
    </row>
    <row r="33" spans="2:15" ht="16.2" hidden="1" thickBot="1">
      <c r="B33" s="249" t="s">
        <v>439</v>
      </c>
      <c r="C33" s="250">
        <v>21</v>
      </c>
      <c r="D33" s="251"/>
      <c r="E33" s="242">
        <f>SUM(C33:D33)</f>
        <v>21</v>
      </c>
      <c r="F33" s="226"/>
      <c r="G33" s="226"/>
      <c r="I33" s="252"/>
      <c r="J33" s="252"/>
      <c r="K33" s="252"/>
      <c r="L33" s="252"/>
    </row>
    <row r="34" spans="2:15" ht="16.2" hidden="1" thickBot="1">
      <c r="B34" s="253" t="s">
        <v>228</v>
      </c>
      <c r="C34" s="254">
        <f>SUM(C30:C33)</f>
        <v>4196</v>
      </c>
      <c r="D34" s="255">
        <f>SUM(D30:D33)</f>
        <v>0</v>
      </c>
      <c r="E34" s="254">
        <f t="shared" ref="E34" si="5">SUM(E30:E33)</f>
        <v>4196</v>
      </c>
      <c r="F34" s="284"/>
      <c r="G34" s="226"/>
      <c r="I34" s="226"/>
      <c r="J34" s="226"/>
      <c r="K34" s="226"/>
      <c r="L34" s="226"/>
    </row>
    <row r="35" spans="2:15" ht="15.6" hidden="1">
      <c r="B35" s="256"/>
      <c r="C35" s="252"/>
      <c r="D35" s="226"/>
      <c r="E35" s="226"/>
      <c r="F35" s="226"/>
      <c r="G35" s="226"/>
      <c r="I35" s="257"/>
      <c r="J35" s="258"/>
      <c r="K35" s="258"/>
      <c r="L35" s="258"/>
    </row>
    <row r="36" spans="2:15" ht="15.6" hidden="1">
      <c r="B36" s="226"/>
      <c r="C36" s="226"/>
      <c r="D36" s="226"/>
      <c r="E36" s="226"/>
      <c r="F36" s="226"/>
      <c r="G36" s="226"/>
      <c r="I36" s="226"/>
      <c r="J36" s="226"/>
      <c r="K36" s="226"/>
      <c r="L36" s="226"/>
    </row>
    <row r="37" spans="2:15" ht="28.2" hidden="1" thickBot="1">
      <c r="B37" s="317" t="s">
        <v>440</v>
      </c>
      <c r="C37" s="259" t="s">
        <v>187</v>
      </c>
      <c r="D37" s="260" t="s">
        <v>399</v>
      </c>
      <c r="E37" s="173" t="s">
        <v>397</v>
      </c>
      <c r="F37" s="283"/>
      <c r="G37" s="226"/>
      <c r="I37" s="319" t="s">
        <v>441</v>
      </c>
      <c r="J37" s="259" t="s">
        <v>187</v>
      </c>
      <c r="K37" s="260" t="s">
        <v>399</v>
      </c>
      <c r="L37" s="173" t="s">
        <v>397</v>
      </c>
    </row>
    <row r="38" spans="2:15" ht="16.2" hidden="1" thickBot="1">
      <c r="B38" s="318"/>
      <c r="C38" s="261">
        <f>C26+C34</f>
        <v>5366</v>
      </c>
      <c r="D38" s="262">
        <f>D26+D34</f>
        <v>0</v>
      </c>
      <c r="E38" s="263">
        <f>C38+D38</f>
        <v>5366</v>
      </c>
      <c r="F38" s="226"/>
      <c r="G38" s="226"/>
      <c r="I38" s="320"/>
      <c r="J38" s="261">
        <f>J32+J14</f>
        <v>5366</v>
      </c>
      <c r="K38" s="264">
        <f>K32+K14-D26-D34</f>
        <v>0</v>
      </c>
      <c r="L38" s="265">
        <f>J38+K38</f>
        <v>5366</v>
      </c>
      <c r="M38" s="266"/>
      <c r="N38" s="267"/>
    </row>
    <row r="39" spans="2:15" ht="15.6" hidden="1">
      <c r="B39" s="268"/>
      <c r="C39" s="268"/>
      <c r="D39" s="268"/>
      <c r="E39" s="268"/>
      <c r="F39" s="268"/>
      <c r="G39" s="268"/>
      <c r="I39" s="268"/>
      <c r="J39" s="226"/>
      <c r="K39" s="268"/>
      <c r="L39" s="268"/>
      <c r="M39" s="266"/>
      <c r="N39" s="267"/>
    </row>
    <row r="40" spans="2:15" ht="15.6" hidden="1">
      <c r="G40" s="268"/>
      <c r="I40" s="269"/>
      <c r="J40" s="226"/>
      <c r="K40" s="267"/>
      <c r="L40" s="266"/>
      <c r="M40" s="267"/>
    </row>
    <row r="41" spans="2:15" ht="14.4" hidden="1" thickBot="1">
      <c r="B41" s="270" t="s">
        <v>442</v>
      </c>
      <c r="C41" s="271" t="s">
        <v>443</v>
      </c>
      <c r="G41" s="268"/>
      <c r="I41" s="312" t="s">
        <v>444</v>
      </c>
      <c r="J41" s="272" t="s">
        <v>443</v>
      </c>
      <c r="K41" s="266"/>
      <c r="M41" s="163"/>
    </row>
    <row r="42" spans="2:15" ht="16.2" hidden="1" thickBot="1">
      <c r="B42" s="273"/>
      <c r="C42" s="274"/>
      <c r="G42" s="268"/>
      <c r="I42" s="313"/>
      <c r="J42" s="275">
        <f>J38-C38</f>
        <v>0</v>
      </c>
      <c r="K42" s="266"/>
      <c r="M42" s="163"/>
    </row>
    <row r="43" spans="2:15" ht="15.6" hidden="1">
      <c r="G43" s="268"/>
      <c r="I43" s="269"/>
      <c r="J43" s="226"/>
      <c r="K43" s="276"/>
      <c r="M43" s="163"/>
    </row>
    <row r="44" spans="2:15" ht="15.6">
      <c r="F44" s="203"/>
      <c r="G44" s="268"/>
      <c r="I44" s="269"/>
      <c r="J44" s="226"/>
      <c r="K44" s="268"/>
      <c r="L44" s="277"/>
      <c r="M44" s="268"/>
      <c r="N44" s="268"/>
      <c r="O44" s="268"/>
    </row>
    <row r="45" spans="2:15">
      <c r="F45" s="203"/>
      <c r="G45" s="268"/>
      <c r="I45" s="269"/>
      <c r="J45" s="268"/>
      <c r="K45" s="268"/>
      <c r="L45" s="277"/>
      <c r="M45" s="268"/>
      <c r="N45" s="268"/>
      <c r="O45" s="268"/>
    </row>
    <row r="49" ht="27" customHeight="1"/>
  </sheetData>
  <mergeCells count="8">
    <mergeCell ref="I41:I42"/>
    <mergeCell ref="B2:L2"/>
    <mergeCell ref="B3:L3"/>
    <mergeCell ref="B4:C4"/>
    <mergeCell ref="I4:J4"/>
    <mergeCell ref="I5:J5"/>
    <mergeCell ref="B37:B38"/>
    <mergeCell ref="I37:I38"/>
  </mergeCells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7</vt:i4>
      </vt:variant>
    </vt:vector>
  </HeadingPairs>
  <TitlesOfParts>
    <vt:vector size="7" baseType="lpstr">
      <vt:lpstr> PŘEHLED K TISKU</vt:lpstr>
      <vt:lpstr>Příjmy</vt:lpstr>
      <vt:lpstr>Výdaje</vt:lpstr>
      <vt:lpstr>Sport návrh</vt:lpstr>
      <vt:lpstr>Sport doplnění</vt:lpstr>
      <vt:lpstr>SDH</vt:lpstr>
      <vt:lpstr>MŠ</vt:lpstr>
    </vt:vector>
  </TitlesOfParts>
  <Company>Mubea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Cadkova, Monika</dc:creator>
  <cp:lastModifiedBy>Cadkova, Monika</cp:lastModifiedBy>
  <cp:lastPrinted>2024-12-05T09:49:01Z</cp:lastPrinted>
  <dcterms:created xsi:type="dcterms:W3CDTF">2022-11-02T20:32:56Z</dcterms:created>
  <dcterms:modified xsi:type="dcterms:W3CDTF">2024-12-05T09:49:09Z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1909310905</vt:i4>
  </property>
  <property fmtid="{D5CDD505-2E9C-101B-9397-08002B2CF9AE}" pid="3" name="_NewReviewCycle">
    <vt:lpwstr/>
  </property>
  <property fmtid="{D5CDD505-2E9C-101B-9397-08002B2CF9AE}" pid="4" name="_EmailSubject">
    <vt:lpwstr>Obec 2025-27</vt:lpwstr>
  </property>
  <property fmtid="{D5CDD505-2E9C-101B-9397-08002B2CF9AE}" pid="5" name="_AuthorEmail">
    <vt:lpwstr>Monika.Cadkova@mubea.com</vt:lpwstr>
  </property>
  <property fmtid="{D5CDD505-2E9C-101B-9397-08002B2CF9AE}" pid="6" name="_AuthorEmailDisplayName">
    <vt:lpwstr>Cadkova, Monika</vt:lpwstr>
  </property>
</Properties>
</file>